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 File 2021\SAAOB 2021\"/>
    </mc:Choice>
  </mc:AlternateContent>
  <bookViews>
    <workbookView xWindow="0" yWindow="0" windowWidth="14400" windowHeight="7620" firstSheet="33" activeTab="37"/>
  </bookViews>
  <sheets>
    <sheet name="1021-GIST" sheetId="14" r:id="rId1"/>
    <sheet name="1011-MO" sheetId="2" r:id="rId2"/>
    <sheet name="1012-BPLO" sheetId="4" r:id="rId3"/>
    <sheet name="1013-HRMO (2)" sheetId="38" r:id="rId4"/>
    <sheet name="1013-HRMO" sheetId="5" r:id="rId5"/>
    <sheet name="COA-1015" sheetId="7" r:id="rId6"/>
    <sheet name="MA (2A)" sheetId="40" r:id="rId7"/>
    <sheet name="MA" sheetId="39" r:id="rId8"/>
    <sheet name="1016-SBO" sheetId="8" r:id="rId9"/>
    <sheet name="1017-NDRRMO5% (2)" sheetId="46" r:id="rId10"/>
    <sheet name="1017-NDRRMO5%" sheetId="9" r:id="rId11"/>
    <sheet name="PESO-1018" sheetId="10" r:id="rId12"/>
    <sheet name="PESO 2A" sheetId="41" r:id="rId13"/>
    <sheet name="1019-NDRRM-ADMIN" sheetId="12" r:id="rId14"/>
    <sheet name="1020-TOURISM (2A)" sheetId="42" r:id="rId15"/>
    <sheet name="1020-TOURISM" sheetId="13" r:id="rId16"/>
    <sheet name="BAC" sheetId="44" r:id="rId17"/>
    <sheet name="1022-KALAHI" sheetId="15" r:id="rId18"/>
    <sheet name="1023-MARKET" sheetId="30" r:id="rId19"/>
    <sheet name="1024-SLAUGHTER" sheetId="31" r:id="rId20"/>
    <sheet name="1025-CEMETERY" sheetId="32" r:id="rId21"/>
    <sheet name="1022BAMBOO" sheetId="33" r:id="rId22"/>
    <sheet name="1041-MPDO" sheetId="16" r:id="rId23"/>
    <sheet name="1051-MCRO" sheetId="17" r:id="rId24"/>
    <sheet name="1071-MBO" sheetId="18" r:id="rId25"/>
    <sheet name="1081-MACCO" sheetId="19" r:id="rId26"/>
    <sheet name="1091-MTO" sheetId="20" r:id="rId27"/>
    <sheet name="1101-MASSO" sheetId="21" r:id="rId28"/>
    <sheet name="4411-MHO" sheetId="22" r:id="rId29"/>
    <sheet name="7611-MSWDO" sheetId="23" r:id="rId30"/>
    <sheet name="8711-MAGO" sheetId="24" r:id="rId31"/>
    <sheet name="8712-MENRO" sheetId="25" r:id="rId32"/>
    <sheet name="8751-MEO" sheetId="29" r:id="rId33"/>
    <sheet name="9997-SPA" sheetId="26" r:id="rId34"/>
    <sheet name="ppiipy realignment" sheetId="47" state="hidden" r:id="rId35"/>
    <sheet name="9911PY 2012-2018" sheetId="36" r:id="rId36"/>
    <sheet name="CY 9911" sheetId="37" r:id="rId37"/>
    <sheet name="BAYANIHAN2021" sheetId="45" r:id="rId38"/>
  </sheets>
  <definedNames>
    <definedName name="_xlnm.Print_Area" localSheetId="1">'1011-MO'!$A$1:$AE$189</definedName>
    <definedName name="_xlnm.Print_Area" localSheetId="8">'1016-SBO'!$A$1:$AJ$96</definedName>
    <definedName name="_xlnm.Print_Area" localSheetId="10">'1017-NDRRMO5%'!$A$1:$Y$114</definedName>
    <definedName name="_xlnm.Print_Area" localSheetId="9">'1017-NDRRMO5% (2)'!$A$1:$Y$109</definedName>
    <definedName name="_xlnm.Print_Area" localSheetId="15">'1020-TOURISM'!$A$1:$AA$75</definedName>
    <definedName name="_xlnm.Print_Area" localSheetId="17">'1022-KALAHI'!$A$1:$AA$71</definedName>
    <definedName name="_xlnm.Print_Area" localSheetId="23">'1051-MCRO'!$A$1:$AC$82</definedName>
    <definedName name="_xlnm.Print_Area" localSheetId="24">'1071-MBO'!$A$1:$AB$74</definedName>
    <definedName name="_xlnm.Print_Area" localSheetId="25">'1081-MACCO'!$A$1:$AE$73</definedName>
    <definedName name="_xlnm.Print_Area" localSheetId="26">'1091-MTO'!$A$1:$AF$96</definedName>
    <definedName name="_xlnm.Print_Area" localSheetId="27">'1101-MASSO'!$A$1:$AD$92</definedName>
    <definedName name="_xlnm.Print_Area" localSheetId="28">'4411-MHO'!$A$1:$AF$205</definedName>
    <definedName name="_xlnm.Print_Area" localSheetId="29">'7611-MSWDO'!$A$1:$AB$143</definedName>
    <definedName name="_xlnm.Print_Area" localSheetId="30">'8711-MAGO'!$A$1:$AE$146</definedName>
    <definedName name="_xlnm.Print_Area" localSheetId="32">'8751-MEO'!$A$1:$AD$130</definedName>
    <definedName name="_xlnm.Print_Area" localSheetId="35">'9911PY 2012-2018'!$A$1:$Y$63</definedName>
    <definedName name="_xlnm.Print_Area" localSheetId="5">'COA-1015'!$A$1:$Z$31</definedName>
    <definedName name="_xlnm.Print_Area" localSheetId="6">'MA (2A)'!$A$1:$Z$56</definedName>
    <definedName name="_xlnm.Print_Area" localSheetId="11">'PESO-1018'!$A$1:$AB$53</definedName>
    <definedName name="_xlnm.Print_Area" localSheetId="34">'ppiipy realignment'!$A$1:$Y$63</definedName>
  </definedNames>
  <calcPr calcId="162913"/>
</workbook>
</file>

<file path=xl/calcChain.xml><?xml version="1.0" encoding="utf-8"?>
<calcChain xmlns="http://schemas.openxmlformats.org/spreadsheetml/2006/main">
  <c r="Z54" i="25" l="1"/>
  <c r="AA32" i="25"/>
  <c r="N32" i="25"/>
  <c r="AD32" i="25"/>
  <c r="W118" i="24" l="1"/>
  <c r="K108" i="24"/>
  <c r="K109" i="24"/>
  <c r="K110" i="24"/>
  <c r="K111" i="24"/>
  <c r="K112" i="24"/>
  <c r="K113" i="24"/>
  <c r="K114" i="24"/>
  <c r="K115" i="24"/>
  <c r="K116" i="24"/>
  <c r="K117" i="24"/>
  <c r="K118" i="24"/>
  <c r="K119" i="24"/>
  <c r="K120" i="24"/>
  <c r="K121" i="24"/>
  <c r="K122" i="24"/>
  <c r="K123" i="24"/>
  <c r="K124" i="24"/>
  <c r="K125" i="24"/>
  <c r="K126" i="24"/>
  <c r="K127" i="24"/>
  <c r="K128" i="24"/>
  <c r="K129" i="24"/>
  <c r="K130" i="24"/>
  <c r="K131" i="24"/>
  <c r="K132" i="24"/>
  <c r="K133" i="24"/>
  <c r="K134" i="24"/>
  <c r="K135" i="24"/>
  <c r="K136" i="24"/>
  <c r="K107" i="24"/>
  <c r="AA122" i="24"/>
  <c r="V9" i="44" l="1"/>
  <c r="W9" i="44"/>
  <c r="V10" i="44"/>
  <c r="W10" i="44"/>
  <c r="V11" i="44"/>
  <c r="W11" i="44"/>
  <c r="V12" i="44"/>
  <c r="W12" i="44"/>
  <c r="V13" i="44"/>
  <c r="W13" i="44"/>
  <c r="V14" i="44"/>
  <c r="W14" i="44"/>
  <c r="V8" i="44"/>
  <c r="W8" i="44"/>
  <c r="R36" i="17"/>
  <c r="D35" i="37" l="1"/>
  <c r="D36" i="37" s="1"/>
  <c r="D27" i="37"/>
  <c r="D9" i="37"/>
  <c r="E8" i="47"/>
  <c r="D47" i="47"/>
  <c r="D44" i="47"/>
  <c r="D43" i="47"/>
  <c r="D42" i="47"/>
  <c r="D41" i="47"/>
  <c r="D39" i="47"/>
  <c r="D37" i="47"/>
  <c r="D32" i="47"/>
  <c r="D28" i="47"/>
  <c r="D26" i="47"/>
  <c r="D25" i="47"/>
  <c r="AA28" i="15"/>
  <c r="AB75" i="16" l="1"/>
  <c r="AB56" i="16"/>
  <c r="AB48" i="16"/>
  <c r="AB49" i="16"/>
  <c r="AB50" i="16"/>
  <c r="AB51" i="16"/>
  <c r="AB52" i="16"/>
  <c r="AB53" i="16"/>
  <c r="AB54" i="16"/>
  <c r="AB55" i="16"/>
  <c r="Z55" i="16"/>
  <c r="Z54" i="16"/>
  <c r="Z53" i="16"/>
  <c r="Z52" i="16"/>
  <c r="Z51" i="16"/>
  <c r="Z50" i="16"/>
  <c r="Z49" i="16"/>
  <c r="Z48" i="16"/>
  <c r="Z47" i="16"/>
  <c r="Z46" i="16"/>
  <c r="Z45" i="16"/>
  <c r="U45" i="16"/>
  <c r="S38" i="16"/>
  <c r="W17" i="14" l="1"/>
  <c r="AA17" i="14"/>
  <c r="W51" i="2" l="1"/>
  <c r="T51" i="2"/>
  <c r="AB38" i="20" l="1"/>
  <c r="S124" i="23" l="1"/>
  <c r="Y133" i="23"/>
  <c r="X133" i="23"/>
  <c r="Y132" i="23"/>
  <c r="X132" i="23"/>
  <c r="Y131" i="23"/>
  <c r="X131" i="23"/>
  <c r="Y130" i="23"/>
  <c r="X130" i="23"/>
  <c r="Y129" i="23"/>
  <c r="X129" i="23"/>
  <c r="Y128" i="23"/>
  <c r="X128" i="23"/>
  <c r="Y127" i="23"/>
  <c r="X127" i="23"/>
  <c r="Y126" i="23"/>
  <c r="X126" i="23"/>
  <c r="Y125" i="23"/>
  <c r="X125" i="23"/>
  <c r="Y124" i="23"/>
  <c r="X124" i="23"/>
  <c r="Y123" i="23"/>
  <c r="X123" i="23"/>
  <c r="Y122" i="23"/>
  <c r="X122" i="23"/>
  <c r="Y121" i="23"/>
  <c r="X121" i="23"/>
  <c r="Y120" i="23"/>
  <c r="X120" i="23"/>
  <c r="Y119" i="23"/>
  <c r="X119" i="23"/>
  <c r="Y118" i="23"/>
  <c r="X118" i="23"/>
  <c r="Y117" i="23"/>
  <c r="X117" i="23"/>
  <c r="Y116" i="23"/>
  <c r="X116" i="23"/>
  <c r="Y115" i="23"/>
  <c r="X115" i="23"/>
  <c r="Y114" i="23"/>
  <c r="X114" i="23"/>
  <c r="Y113" i="23"/>
  <c r="X113" i="23"/>
  <c r="Y112" i="23"/>
  <c r="X112" i="23"/>
  <c r="Y111" i="23"/>
  <c r="X111" i="23"/>
  <c r="Y110" i="23"/>
  <c r="X110" i="23"/>
  <c r="Y109" i="23"/>
  <c r="X109" i="23"/>
  <c r="Y108" i="23"/>
  <c r="X108" i="23"/>
  <c r="Y107" i="23"/>
  <c r="X107" i="23"/>
  <c r="Y106" i="23"/>
  <c r="X106" i="23"/>
  <c r="Y105" i="23"/>
  <c r="X105" i="23"/>
  <c r="Y104" i="23"/>
  <c r="X104" i="23"/>
  <c r="Y103" i="23"/>
  <c r="X103" i="23"/>
  <c r="Y102" i="23"/>
  <c r="X102" i="23"/>
  <c r="Y101" i="23"/>
  <c r="X101" i="23"/>
  <c r="Y100" i="23"/>
  <c r="X100" i="23"/>
  <c r="Y99" i="23"/>
  <c r="X99" i="23"/>
  <c r="Y98" i="23"/>
  <c r="X98" i="23"/>
  <c r="Y97" i="23"/>
  <c r="X97" i="23"/>
  <c r="Y96" i="23"/>
  <c r="X96" i="23"/>
  <c r="Y95" i="23"/>
  <c r="X95" i="23"/>
  <c r="Y94" i="23"/>
  <c r="X94" i="23"/>
  <c r="Y93" i="23"/>
  <c r="X93" i="23"/>
  <c r="Y92" i="23"/>
  <c r="X92" i="23"/>
  <c r="Y91" i="23"/>
  <c r="X91" i="23"/>
  <c r="Y90" i="23"/>
  <c r="X90" i="23"/>
  <c r="Y89" i="23"/>
  <c r="X89" i="23"/>
  <c r="Y88" i="23"/>
  <c r="X88" i="23"/>
  <c r="Y87" i="23"/>
  <c r="X87" i="23"/>
  <c r="Y64" i="23"/>
  <c r="X64" i="23"/>
  <c r="Y63" i="23"/>
  <c r="X63" i="23"/>
  <c r="Y60" i="23"/>
  <c r="X60" i="23"/>
  <c r="Y59" i="23"/>
  <c r="X59" i="23"/>
  <c r="Y56" i="23"/>
  <c r="X56" i="23"/>
  <c r="Y55" i="23"/>
  <c r="X55" i="23"/>
  <c r="Y54" i="23"/>
  <c r="X54" i="23"/>
  <c r="Y53" i="23"/>
  <c r="X53" i="23"/>
  <c r="Y52" i="23"/>
  <c r="X52" i="23"/>
  <c r="Y51" i="23"/>
  <c r="X51" i="23"/>
  <c r="Y50" i="23"/>
  <c r="X50" i="23"/>
  <c r="Y49" i="23"/>
  <c r="X49" i="23"/>
  <c r="Y48" i="23"/>
  <c r="X48" i="23"/>
  <c r="Y47" i="23"/>
  <c r="X47" i="23"/>
  <c r="Y46" i="23"/>
  <c r="X46" i="23"/>
  <c r="Y45" i="23"/>
  <c r="X45" i="23"/>
  <c r="Y44" i="23"/>
  <c r="X44" i="23"/>
  <c r="Y43" i="23"/>
  <c r="X43" i="23"/>
  <c r="Y42" i="23"/>
  <c r="X42" i="23"/>
  <c r="Y41" i="23"/>
  <c r="X41" i="23"/>
  <c r="Y40" i="23"/>
  <c r="X40" i="23"/>
  <c r="Y39" i="23"/>
  <c r="X39" i="23"/>
  <c r="Y38" i="23"/>
  <c r="X38" i="23"/>
  <c r="Y37" i="23"/>
  <c r="X37" i="23"/>
  <c r="Y36" i="23"/>
  <c r="X36" i="23"/>
  <c r="Y35" i="23"/>
  <c r="X35" i="23"/>
  <c r="Y34" i="23"/>
  <c r="X34" i="23"/>
  <c r="Y33" i="23"/>
  <c r="X33" i="23"/>
  <c r="Y32" i="23"/>
  <c r="X32" i="23"/>
  <c r="X10" i="23"/>
  <c r="Y10" i="23"/>
  <c r="X11" i="23"/>
  <c r="Y11" i="23"/>
  <c r="X12" i="23"/>
  <c r="Y12" i="23"/>
  <c r="X13" i="23"/>
  <c r="Y13" i="23"/>
  <c r="X14" i="23"/>
  <c r="Y14" i="23"/>
  <c r="X15" i="23"/>
  <c r="Y15" i="23"/>
  <c r="X16" i="23"/>
  <c r="Y16" i="23"/>
  <c r="X17" i="23"/>
  <c r="Y17" i="23"/>
  <c r="X18" i="23"/>
  <c r="Y18" i="23"/>
  <c r="X19" i="23"/>
  <c r="Y19" i="23"/>
  <c r="X20" i="23"/>
  <c r="Y20" i="23"/>
  <c r="X21" i="23"/>
  <c r="Y21" i="23"/>
  <c r="X22" i="23"/>
  <c r="Y22" i="23"/>
  <c r="X23" i="23"/>
  <c r="Y23" i="23"/>
  <c r="X24" i="23"/>
  <c r="Y24" i="23"/>
  <c r="X25" i="23"/>
  <c r="Y25" i="23"/>
  <c r="X26" i="23"/>
  <c r="Y26" i="23"/>
  <c r="X27" i="23"/>
  <c r="Y27" i="23"/>
  <c r="X28" i="23"/>
  <c r="Y28" i="23"/>
  <c r="X29" i="23"/>
  <c r="Y29" i="23"/>
  <c r="Y9" i="23"/>
  <c r="X9" i="23"/>
  <c r="T49" i="47"/>
  <c r="S49" i="47"/>
  <c r="R49" i="47"/>
  <c r="Q49" i="47"/>
  <c r="P49" i="47"/>
  <c r="O49" i="47"/>
  <c r="N49" i="47"/>
  <c r="M49" i="47"/>
  <c r="K49" i="47"/>
  <c r="J49" i="47"/>
  <c r="I49" i="47"/>
  <c r="F49" i="47"/>
  <c r="E49" i="47"/>
  <c r="D49" i="47"/>
  <c r="C49" i="47"/>
  <c r="V48" i="47"/>
  <c r="U48" i="47"/>
  <c r="W48" i="47" s="1"/>
  <c r="V47" i="47"/>
  <c r="U47" i="47"/>
  <c r="W47" i="47" s="1"/>
  <c r="E47" i="47"/>
  <c r="G47" i="47" s="1"/>
  <c r="V46" i="47"/>
  <c r="U46" i="47"/>
  <c r="W46" i="47" s="1"/>
  <c r="G46" i="47"/>
  <c r="E46" i="47"/>
  <c r="V45" i="47"/>
  <c r="U45" i="47"/>
  <c r="W45" i="47" s="1"/>
  <c r="Y45" i="47" s="1"/>
  <c r="E45" i="47"/>
  <c r="H45" i="47" s="1"/>
  <c r="V44" i="47"/>
  <c r="L44" i="47"/>
  <c r="L49" i="47" s="1"/>
  <c r="E44" i="47"/>
  <c r="G44" i="47" s="1"/>
  <c r="V43" i="47"/>
  <c r="U43" i="47"/>
  <c r="E43" i="47"/>
  <c r="G43" i="47" s="1"/>
  <c r="V42" i="47"/>
  <c r="U42" i="47"/>
  <c r="W42" i="47" s="1"/>
  <c r="E42" i="47"/>
  <c r="G42" i="47" s="1"/>
  <c r="V41" i="47"/>
  <c r="U41" i="47"/>
  <c r="W41" i="47" s="1"/>
  <c r="E41" i="47"/>
  <c r="G41" i="47" s="1"/>
  <c r="V40" i="47"/>
  <c r="U40" i="47"/>
  <c r="W40" i="47" s="1"/>
  <c r="H40" i="47"/>
  <c r="E40" i="47"/>
  <c r="G40" i="47" s="1"/>
  <c r="V39" i="47"/>
  <c r="U39" i="47"/>
  <c r="W39" i="47" s="1"/>
  <c r="E39" i="47"/>
  <c r="G39" i="47" s="1"/>
  <c r="V38" i="47"/>
  <c r="U38" i="47"/>
  <c r="W38" i="47" s="1"/>
  <c r="H38" i="47"/>
  <c r="E38" i="47"/>
  <c r="G38" i="47" s="1"/>
  <c r="V37" i="47"/>
  <c r="U37" i="47"/>
  <c r="W37" i="47" s="1"/>
  <c r="E37" i="47"/>
  <c r="G37" i="47" s="1"/>
  <c r="V36" i="47"/>
  <c r="U36" i="47"/>
  <c r="W36" i="47" s="1"/>
  <c r="Y36" i="47" s="1"/>
  <c r="H36" i="47"/>
  <c r="E36" i="47"/>
  <c r="G36" i="47" s="1"/>
  <c r="V35" i="47"/>
  <c r="U35" i="47"/>
  <c r="W35" i="47" s="1"/>
  <c r="Y35" i="47" s="1"/>
  <c r="H35" i="47"/>
  <c r="E35" i="47"/>
  <c r="G35" i="47" s="1"/>
  <c r="V34" i="47"/>
  <c r="U34" i="47"/>
  <c r="W34" i="47" s="1"/>
  <c r="Y34" i="47" s="1"/>
  <c r="H34" i="47"/>
  <c r="E34" i="47"/>
  <c r="G34" i="47" s="1"/>
  <c r="V33" i="47"/>
  <c r="U33" i="47"/>
  <c r="W33" i="47" s="1"/>
  <c r="Y33" i="47" s="1"/>
  <c r="H33" i="47"/>
  <c r="E33" i="47"/>
  <c r="G33" i="47" s="1"/>
  <c r="V32" i="47"/>
  <c r="U32" i="47"/>
  <c r="W32" i="47" s="1"/>
  <c r="E32" i="47"/>
  <c r="G32" i="47" s="1"/>
  <c r="W31" i="47"/>
  <c r="Y31" i="47" s="1"/>
  <c r="T29" i="47"/>
  <c r="S29" i="47"/>
  <c r="R29" i="47"/>
  <c r="Q29" i="47"/>
  <c r="P29" i="47"/>
  <c r="O29" i="47"/>
  <c r="N29" i="47"/>
  <c r="M29" i="47"/>
  <c r="L29" i="47"/>
  <c r="J29" i="47"/>
  <c r="I29" i="47"/>
  <c r="F29" i="47"/>
  <c r="D29" i="47"/>
  <c r="C29" i="47"/>
  <c r="V28" i="47"/>
  <c r="W28" i="47" s="1"/>
  <c r="U28" i="47"/>
  <c r="E28" i="47"/>
  <c r="V27" i="47"/>
  <c r="U27" i="47"/>
  <c r="E27" i="47"/>
  <c r="V26" i="47"/>
  <c r="W26" i="47" s="1"/>
  <c r="U26" i="47"/>
  <c r="E26" i="47"/>
  <c r="V25" i="47"/>
  <c r="W25" i="47" s="1"/>
  <c r="U25" i="47"/>
  <c r="E25" i="47"/>
  <c r="V24" i="47"/>
  <c r="V29" i="47" s="1"/>
  <c r="U24" i="47"/>
  <c r="K24" i="47"/>
  <c r="K29" i="47" s="1"/>
  <c r="G24" i="47"/>
  <c r="E24" i="47"/>
  <c r="H24" i="47" s="1"/>
  <c r="V23" i="47"/>
  <c r="U23" i="47"/>
  <c r="V22" i="47"/>
  <c r="W22" i="47" s="1"/>
  <c r="U22" i="47"/>
  <c r="M22" i="47"/>
  <c r="G22" i="47"/>
  <c r="E22" i="47"/>
  <c r="H22" i="47" s="1"/>
  <c r="X22" i="47" s="1"/>
  <c r="T19" i="47"/>
  <c r="S19" i="47"/>
  <c r="R19" i="47"/>
  <c r="Q19" i="47"/>
  <c r="P19" i="47"/>
  <c r="O19" i="47"/>
  <c r="N19" i="47"/>
  <c r="M19" i="47"/>
  <c r="L19" i="47"/>
  <c r="K19" i="47"/>
  <c r="J19" i="47"/>
  <c r="I19" i="47"/>
  <c r="F19" i="47"/>
  <c r="D19" i="47"/>
  <c r="C19" i="47"/>
  <c r="V18" i="47"/>
  <c r="U18" i="47"/>
  <c r="E18" i="47"/>
  <c r="V17" i="47"/>
  <c r="U17" i="47"/>
  <c r="E17" i="47"/>
  <c r="V16" i="47"/>
  <c r="U16" i="47"/>
  <c r="U19" i="47" s="1"/>
  <c r="E16" i="47"/>
  <c r="V15" i="47"/>
  <c r="U15" i="47"/>
  <c r="V14" i="47"/>
  <c r="U14" i="47"/>
  <c r="T13" i="47"/>
  <c r="S13" i="47"/>
  <c r="R13" i="47"/>
  <c r="V13" i="47" s="1"/>
  <c r="Q13" i="47"/>
  <c r="P13" i="47"/>
  <c r="O13" i="47"/>
  <c r="N13" i="47"/>
  <c r="M13" i="47"/>
  <c r="L13" i="47"/>
  <c r="K13" i="47"/>
  <c r="J13" i="47"/>
  <c r="I13" i="47"/>
  <c r="F13" i="47"/>
  <c r="C13" i="47"/>
  <c r="V12" i="47"/>
  <c r="U12" i="47"/>
  <c r="G12" i="47"/>
  <c r="G13" i="47" s="1"/>
  <c r="E12" i="47"/>
  <c r="E13" i="47" s="1"/>
  <c r="T9" i="47"/>
  <c r="S9" i="47"/>
  <c r="S50" i="47" s="1"/>
  <c r="R9" i="47"/>
  <c r="Q9" i="47"/>
  <c r="P9" i="47"/>
  <c r="O9" i="47"/>
  <c r="O50" i="47" s="1"/>
  <c r="N9" i="47"/>
  <c r="M9" i="47"/>
  <c r="L9" i="47"/>
  <c r="L50" i="47" s="1"/>
  <c r="K9" i="47"/>
  <c r="J9" i="47"/>
  <c r="I9" i="47"/>
  <c r="F9" i="47"/>
  <c r="C9" i="47"/>
  <c r="V8" i="47"/>
  <c r="V9" i="47" s="1"/>
  <c r="U8" i="47"/>
  <c r="U9" i="47" s="1"/>
  <c r="A3" i="47"/>
  <c r="AH30" i="25"/>
  <c r="U95" i="23"/>
  <c r="T102" i="46"/>
  <c r="T103" i="46" s="1"/>
  <c r="S102" i="46"/>
  <c r="S103" i="46" s="1"/>
  <c r="R102" i="46"/>
  <c r="R103" i="46" s="1"/>
  <c r="P102" i="46"/>
  <c r="L102" i="46"/>
  <c r="L103" i="46" s="1"/>
  <c r="J102" i="46"/>
  <c r="J103" i="46" s="1"/>
  <c r="D102" i="46"/>
  <c r="D103" i="46" s="1"/>
  <c r="C102" i="46"/>
  <c r="T101" i="46"/>
  <c r="S101" i="46"/>
  <c r="R101" i="46"/>
  <c r="Q101" i="46"/>
  <c r="P101" i="46"/>
  <c r="O101" i="46"/>
  <c r="N101" i="46"/>
  <c r="M101" i="46"/>
  <c r="L101" i="46"/>
  <c r="K101" i="46"/>
  <c r="J101" i="46"/>
  <c r="I101" i="46"/>
  <c r="D101" i="46"/>
  <c r="C101" i="46"/>
  <c r="V100" i="46"/>
  <c r="U100" i="46"/>
  <c r="W100" i="46" s="1"/>
  <c r="G100" i="46"/>
  <c r="F100" i="46"/>
  <c r="E100" i="46"/>
  <c r="V99" i="46"/>
  <c r="U99" i="46"/>
  <c r="W99" i="46" s="1"/>
  <c r="G99" i="46"/>
  <c r="E99" i="46"/>
  <c r="X98" i="46"/>
  <c r="V98" i="46"/>
  <c r="W98" i="46" s="1"/>
  <c r="U98" i="46"/>
  <c r="H98" i="46"/>
  <c r="G98" i="46"/>
  <c r="F98" i="46"/>
  <c r="E98" i="46"/>
  <c r="Y98" i="46" s="1"/>
  <c r="W97" i="46"/>
  <c r="V97" i="46"/>
  <c r="U97" i="46"/>
  <c r="G97" i="46"/>
  <c r="E97" i="46"/>
  <c r="Y97" i="46" s="1"/>
  <c r="V96" i="46"/>
  <c r="U96" i="46"/>
  <c r="W96" i="46" s="1"/>
  <c r="G96" i="46"/>
  <c r="E96" i="46"/>
  <c r="V95" i="46"/>
  <c r="U95" i="46"/>
  <c r="W95" i="46" s="1"/>
  <c r="G95" i="46"/>
  <c r="E95" i="46"/>
  <c r="W94" i="46"/>
  <c r="V94" i="46"/>
  <c r="U94" i="46"/>
  <c r="H94" i="46"/>
  <c r="X94" i="46" s="1"/>
  <c r="G94" i="46"/>
  <c r="F94" i="46"/>
  <c r="E94" i="46"/>
  <c r="Y94" i="46" s="1"/>
  <c r="V93" i="46"/>
  <c r="U93" i="46"/>
  <c r="W93" i="46" s="1"/>
  <c r="G93" i="46"/>
  <c r="E93" i="46"/>
  <c r="V92" i="46"/>
  <c r="U92" i="46"/>
  <c r="W92" i="46" s="1"/>
  <c r="Y92" i="46" s="1"/>
  <c r="H92" i="46"/>
  <c r="X92" i="46" s="1"/>
  <c r="G92" i="46"/>
  <c r="E92" i="46"/>
  <c r="F92" i="46" s="1"/>
  <c r="W91" i="46"/>
  <c r="Y91" i="46" s="1"/>
  <c r="V91" i="46"/>
  <c r="U91" i="46"/>
  <c r="G91" i="46"/>
  <c r="F91" i="46"/>
  <c r="E91" i="46"/>
  <c r="H91" i="46" s="1"/>
  <c r="V90" i="46"/>
  <c r="W90" i="46" s="1"/>
  <c r="U90" i="46"/>
  <c r="H90" i="46"/>
  <c r="G90" i="46"/>
  <c r="F90" i="46"/>
  <c r="E90" i="46"/>
  <c r="W89" i="46"/>
  <c r="Y89" i="46" s="1"/>
  <c r="V89" i="46"/>
  <c r="U89" i="46"/>
  <c r="H89" i="46"/>
  <c r="X89" i="46" s="1"/>
  <c r="G89" i="46"/>
  <c r="G101" i="46" s="1"/>
  <c r="E89" i="46"/>
  <c r="F89" i="46" s="1"/>
  <c r="V88" i="46"/>
  <c r="U88" i="46"/>
  <c r="H88" i="46"/>
  <c r="G88" i="46"/>
  <c r="F88" i="46"/>
  <c r="E88" i="46"/>
  <c r="V87" i="46"/>
  <c r="W87" i="46" s="1"/>
  <c r="U87" i="46"/>
  <c r="G87" i="46"/>
  <c r="E87" i="46"/>
  <c r="V86" i="46"/>
  <c r="W86" i="46" s="1"/>
  <c r="U86" i="46"/>
  <c r="H86" i="46"/>
  <c r="X86" i="46" s="1"/>
  <c r="G86" i="46"/>
  <c r="F86" i="46"/>
  <c r="E86" i="46"/>
  <c r="Y86" i="46" s="1"/>
  <c r="W85" i="46"/>
  <c r="V85" i="46"/>
  <c r="U85" i="46"/>
  <c r="H85" i="46"/>
  <c r="X85" i="46" s="1"/>
  <c r="G85" i="46"/>
  <c r="E85" i="46"/>
  <c r="V84" i="46"/>
  <c r="U84" i="46"/>
  <c r="G84" i="46"/>
  <c r="E84" i="46"/>
  <c r="V83" i="46"/>
  <c r="V101" i="46" s="1"/>
  <c r="U83" i="46"/>
  <c r="W83" i="46" s="1"/>
  <c r="G83" i="46"/>
  <c r="E83" i="46"/>
  <c r="V82" i="46"/>
  <c r="U82" i="46"/>
  <c r="T80" i="46"/>
  <c r="S80" i="46"/>
  <c r="R80" i="46"/>
  <c r="Q80" i="46"/>
  <c r="P80" i="46"/>
  <c r="O80" i="46"/>
  <c r="O102" i="46" s="1"/>
  <c r="O103" i="46" s="1"/>
  <c r="N80" i="46"/>
  <c r="N102" i="46" s="1"/>
  <c r="N103" i="46" s="1"/>
  <c r="M80" i="46"/>
  <c r="L80" i="46"/>
  <c r="K80" i="46"/>
  <c r="K102" i="46" s="1"/>
  <c r="J80" i="46"/>
  <c r="I80" i="46"/>
  <c r="G80" i="46"/>
  <c r="D80" i="46"/>
  <c r="C80" i="46"/>
  <c r="V79" i="46"/>
  <c r="U79" i="46"/>
  <c r="W79" i="46" s="1"/>
  <c r="G79" i="46"/>
  <c r="E79" i="46"/>
  <c r="W78" i="46"/>
  <c r="V78" i="46"/>
  <c r="U78" i="46"/>
  <c r="E78" i="46"/>
  <c r="F78" i="46" s="1"/>
  <c r="V77" i="46"/>
  <c r="W77" i="46" s="1"/>
  <c r="U77" i="46"/>
  <c r="H77" i="46"/>
  <c r="X77" i="46" s="1"/>
  <c r="G77" i="46"/>
  <c r="F77" i="46"/>
  <c r="E77" i="46"/>
  <c r="Y77" i="46" s="1"/>
  <c r="W76" i="46"/>
  <c r="V76" i="46"/>
  <c r="U76" i="46"/>
  <c r="E76" i="46"/>
  <c r="F76" i="46" s="1"/>
  <c r="Y75" i="46"/>
  <c r="V75" i="46"/>
  <c r="U75" i="46"/>
  <c r="W75" i="46" s="1"/>
  <c r="H75" i="46"/>
  <c r="X75" i="46" s="1"/>
  <c r="G75" i="46"/>
  <c r="E75" i="46"/>
  <c r="F75" i="46" s="1"/>
  <c r="V74" i="46"/>
  <c r="V80" i="46" s="1"/>
  <c r="U74" i="46"/>
  <c r="G74" i="46"/>
  <c r="E74" i="46"/>
  <c r="W73" i="46"/>
  <c r="V73" i="46"/>
  <c r="U73" i="46"/>
  <c r="H73" i="46"/>
  <c r="X73" i="46" s="1"/>
  <c r="G73" i="46"/>
  <c r="F73" i="46"/>
  <c r="E73" i="46"/>
  <c r="Y73" i="46" s="1"/>
  <c r="W72" i="46"/>
  <c r="V72" i="46"/>
  <c r="U72" i="46"/>
  <c r="E72" i="46"/>
  <c r="F72" i="46" s="1"/>
  <c r="Y71" i="46"/>
  <c r="V71" i="46"/>
  <c r="U71" i="46"/>
  <c r="W71" i="46" s="1"/>
  <c r="H71" i="46"/>
  <c r="X71" i="46" s="1"/>
  <c r="G71" i="46"/>
  <c r="E71" i="46"/>
  <c r="F71" i="46" s="1"/>
  <c r="W70" i="46"/>
  <c r="V70" i="46"/>
  <c r="U70" i="46"/>
  <c r="G70" i="46"/>
  <c r="E70" i="46"/>
  <c r="V69" i="46"/>
  <c r="U69" i="46"/>
  <c r="W69" i="46" s="1"/>
  <c r="V68" i="46"/>
  <c r="U68" i="46"/>
  <c r="V67" i="46"/>
  <c r="Q67" i="46"/>
  <c r="U67" i="46" s="1"/>
  <c r="W67" i="46" s="1"/>
  <c r="Y67" i="46" s="1"/>
  <c r="J67" i="46"/>
  <c r="G67" i="46"/>
  <c r="F67" i="46"/>
  <c r="E67" i="46"/>
  <c r="V66" i="46"/>
  <c r="U66" i="46"/>
  <c r="T65" i="46"/>
  <c r="S65" i="46"/>
  <c r="R65" i="46"/>
  <c r="Q65" i="46"/>
  <c r="O65" i="46"/>
  <c r="N65" i="46"/>
  <c r="M65" i="46"/>
  <c r="L65" i="46"/>
  <c r="K65" i="46"/>
  <c r="K103" i="46" s="1"/>
  <c r="J65" i="46"/>
  <c r="I65" i="46"/>
  <c r="D65" i="46"/>
  <c r="V64" i="46"/>
  <c r="U64" i="46"/>
  <c r="W64" i="46" s="1"/>
  <c r="Y64" i="46" s="1"/>
  <c r="H64" i="46"/>
  <c r="X64" i="46" s="1"/>
  <c r="F64" i="46"/>
  <c r="E64" i="46"/>
  <c r="G64" i="46" s="1"/>
  <c r="W63" i="46"/>
  <c r="Y63" i="46" s="1"/>
  <c r="V63" i="46"/>
  <c r="U63" i="46"/>
  <c r="G63" i="46"/>
  <c r="F63" i="46"/>
  <c r="H63" i="46" s="1"/>
  <c r="X63" i="46" s="1"/>
  <c r="E63" i="46"/>
  <c r="V62" i="46"/>
  <c r="W62" i="46" s="1"/>
  <c r="U62" i="46"/>
  <c r="G62" i="46"/>
  <c r="F62" i="46"/>
  <c r="H62" i="46" s="1"/>
  <c r="E62" i="46"/>
  <c r="Y62" i="46" s="1"/>
  <c r="W61" i="46"/>
  <c r="V61" i="46"/>
  <c r="U61" i="46"/>
  <c r="E61" i="46"/>
  <c r="G61" i="46" s="1"/>
  <c r="V60" i="46"/>
  <c r="U60" i="46"/>
  <c r="E60" i="46"/>
  <c r="V59" i="46"/>
  <c r="U59" i="46"/>
  <c r="W59" i="46" s="1"/>
  <c r="G59" i="46"/>
  <c r="E59" i="46"/>
  <c r="F59" i="46" s="1"/>
  <c r="W58" i="46"/>
  <c r="V58" i="46"/>
  <c r="U58" i="46"/>
  <c r="G58" i="46"/>
  <c r="H58" i="46" s="1"/>
  <c r="X58" i="46" s="1"/>
  <c r="F58" i="46"/>
  <c r="E58" i="46"/>
  <c r="Y58" i="46" s="1"/>
  <c r="V57" i="46"/>
  <c r="U57" i="46"/>
  <c r="W57" i="46" s="1"/>
  <c r="E57" i="46"/>
  <c r="Y57" i="46" s="1"/>
  <c r="Y56" i="46"/>
  <c r="V56" i="46"/>
  <c r="U56" i="46"/>
  <c r="W56" i="46" s="1"/>
  <c r="F56" i="46"/>
  <c r="H56" i="46" s="1"/>
  <c r="X56" i="46" s="1"/>
  <c r="E56" i="46"/>
  <c r="G56" i="46" s="1"/>
  <c r="V55" i="46"/>
  <c r="W55" i="46" s="1"/>
  <c r="U55" i="46"/>
  <c r="E55" i="46"/>
  <c r="V54" i="46"/>
  <c r="W54" i="46" s="1"/>
  <c r="U54" i="46"/>
  <c r="G54" i="46"/>
  <c r="F54" i="46"/>
  <c r="E54" i="46"/>
  <c r="W53" i="46"/>
  <c r="V53" i="46"/>
  <c r="K53" i="46"/>
  <c r="U53" i="46" s="1"/>
  <c r="H53" i="46"/>
  <c r="X53" i="46" s="1"/>
  <c r="F53" i="46"/>
  <c r="E53" i="46"/>
  <c r="G53" i="46" s="1"/>
  <c r="V52" i="46"/>
  <c r="W52" i="46" s="1"/>
  <c r="U52" i="46"/>
  <c r="E52" i="46"/>
  <c r="V51" i="46"/>
  <c r="W51" i="46" s="1"/>
  <c r="U51" i="46"/>
  <c r="G51" i="46"/>
  <c r="F51" i="46"/>
  <c r="E51" i="46"/>
  <c r="W50" i="46"/>
  <c r="V50" i="46"/>
  <c r="U50" i="46"/>
  <c r="G50" i="46"/>
  <c r="E50" i="46"/>
  <c r="V49" i="46"/>
  <c r="U49" i="46"/>
  <c r="E49" i="46"/>
  <c r="V48" i="46"/>
  <c r="U48" i="46"/>
  <c r="E48" i="46"/>
  <c r="W47" i="46"/>
  <c r="V47" i="46"/>
  <c r="U47" i="46"/>
  <c r="H47" i="46"/>
  <c r="X47" i="46" s="1"/>
  <c r="G47" i="46"/>
  <c r="F47" i="46"/>
  <c r="E47" i="46"/>
  <c r="Y47" i="46" s="1"/>
  <c r="Y46" i="46"/>
  <c r="V46" i="46"/>
  <c r="U46" i="46"/>
  <c r="W46" i="46" s="1"/>
  <c r="E46" i="46"/>
  <c r="Y45" i="46"/>
  <c r="V45" i="46"/>
  <c r="U45" i="46"/>
  <c r="W45" i="46" s="1"/>
  <c r="F45" i="46"/>
  <c r="H45" i="46" s="1"/>
  <c r="X45" i="46" s="1"/>
  <c r="E45" i="46"/>
  <c r="G45" i="46" s="1"/>
  <c r="W44" i="46"/>
  <c r="V44" i="46"/>
  <c r="U44" i="46"/>
  <c r="E44" i="46"/>
  <c r="V43" i="46"/>
  <c r="U43" i="46"/>
  <c r="W43" i="46" s="1"/>
  <c r="E43" i="46"/>
  <c r="V42" i="46"/>
  <c r="U42" i="46"/>
  <c r="W42" i="46" s="1"/>
  <c r="Y42" i="46" s="1"/>
  <c r="G42" i="46"/>
  <c r="E42" i="46"/>
  <c r="F42" i="46" s="1"/>
  <c r="H42" i="46" s="1"/>
  <c r="W41" i="46"/>
  <c r="V41" i="46"/>
  <c r="U41" i="46"/>
  <c r="H41" i="46"/>
  <c r="X41" i="46" s="1"/>
  <c r="G41" i="46"/>
  <c r="F41" i="46"/>
  <c r="E41" i="46"/>
  <c r="Y40" i="46"/>
  <c r="V40" i="46"/>
  <c r="U40" i="46"/>
  <c r="W40" i="46" s="1"/>
  <c r="E40" i="46"/>
  <c r="F40" i="46" s="1"/>
  <c r="Y39" i="46"/>
  <c r="V39" i="46"/>
  <c r="U39" i="46"/>
  <c r="W39" i="46" s="1"/>
  <c r="F39" i="46"/>
  <c r="H39" i="46" s="1"/>
  <c r="X39" i="46" s="1"/>
  <c r="E39" i="46"/>
  <c r="G39" i="46" s="1"/>
  <c r="W38" i="46"/>
  <c r="V38" i="46"/>
  <c r="U38" i="46"/>
  <c r="E38" i="46"/>
  <c r="V37" i="46"/>
  <c r="W37" i="46" s="1"/>
  <c r="U37" i="46"/>
  <c r="G37" i="46"/>
  <c r="F37" i="46"/>
  <c r="H37" i="46" s="1"/>
  <c r="X37" i="46" s="1"/>
  <c r="E37" i="46"/>
  <c r="Y37" i="46" s="1"/>
  <c r="W36" i="46"/>
  <c r="V36" i="46"/>
  <c r="U36" i="46"/>
  <c r="E36" i="46"/>
  <c r="V35" i="46"/>
  <c r="U35" i="46"/>
  <c r="W35" i="46" s="1"/>
  <c r="E35" i="46"/>
  <c r="V34" i="46"/>
  <c r="U34" i="46"/>
  <c r="W34" i="46" s="1"/>
  <c r="Y34" i="46" s="1"/>
  <c r="G34" i="46"/>
  <c r="E34" i="46"/>
  <c r="F34" i="46" s="1"/>
  <c r="H34" i="46" s="1"/>
  <c r="W33" i="46"/>
  <c r="V33" i="46"/>
  <c r="U33" i="46"/>
  <c r="H33" i="46"/>
  <c r="X33" i="46" s="1"/>
  <c r="G33" i="46"/>
  <c r="F33" i="46"/>
  <c r="E33" i="46"/>
  <c r="Y32" i="46"/>
  <c r="V32" i="46"/>
  <c r="U32" i="46"/>
  <c r="W32" i="46" s="1"/>
  <c r="E32" i="46"/>
  <c r="F32" i="46" s="1"/>
  <c r="Y31" i="46"/>
  <c r="V31" i="46"/>
  <c r="U31" i="46"/>
  <c r="W31" i="46" s="1"/>
  <c r="G31" i="46"/>
  <c r="E31" i="46"/>
  <c r="F31" i="46" s="1"/>
  <c r="H31" i="46" s="1"/>
  <c r="X31" i="46" s="1"/>
  <c r="Y30" i="46"/>
  <c r="V30" i="46"/>
  <c r="U30" i="46"/>
  <c r="W30" i="46" s="1"/>
  <c r="X30" i="46" s="1"/>
  <c r="F30" i="46"/>
  <c r="E30" i="46"/>
  <c r="W29" i="46"/>
  <c r="V29" i="46"/>
  <c r="U29" i="46"/>
  <c r="G29" i="46"/>
  <c r="E29" i="46"/>
  <c r="F29" i="46" s="1"/>
  <c r="H29" i="46" s="1"/>
  <c r="X29" i="46" s="1"/>
  <c r="V28" i="46"/>
  <c r="U28" i="46"/>
  <c r="W28" i="46" s="1"/>
  <c r="E28" i="46"/>
  <c r="V27" i="46"/>
  <c r="U27" i="46"/>
  <c r="E27" i="46"/>
  <c r="C27" i="46"/>
  <c r="W26" i="46"/>
  <c r="V26" i="46"/>
  <c r="U26" i="46"/>
  <c r="C26" i="46"/>
  <c r="E26" i="46" s="1"/>
  <c r="V25" i="46"/>
  <c r="U25" i="46"/>
  <c r="W25" i="46" s="1"/>
  <c r="F25" i="46"/>
  <c r="H25" i="46" s="1"/>
  <c r="X25" i="46" s="1"/>
  <c r="E25" i="46"/>
  <c r="G25" i="46" s="1"/>
  <c r="V24" i="46"/>
  <c r="W24" i="46" s="1"/>
  <c r="U24" i="46"/>
  <c r="G24" i="46"/>
  <c r="F24" i="46"/>
  <c r="E24" i="46"/>
  <c r="W23" i="46"/>
  <c r="V23" i="46"/>
  <c r="U23" i="46"/>
  <c r="G23" i="46"/>
  <c r="C23" i="46"/>
  <c r="E23" i="46" s="1"/>
  <c r="V22" i="46"/>
  <c r="U22" i="46"/>
  <c r="W22" i="46" s="1"/>
  <c r="E22" i="46"/>
  <c r="G22" i="46" s="1"/>
  <c r="V21" i="46"/>
  <c r="W21" i="46" s="1"/>
  <c r="U21" i="46"/>
  <c r="F21" i="46"/>
  <c r="C21" i="46"/>
  <c r="E21" i="46" s="1"/>
  <c r="V20" i="46"/>
  <c r="U20" i="46"/>
  <c r="W20" i="46" s="1"/>
  <c r="C20" i="46"/>
  <c r="E20" i="46" s="1"/>
  <c r="W19" i="46"/>
  <c r="V19" i="46"/>
  <c r="U19" i="46"/>
  <c r="G19" i="46"/>
  <c r="F19" i="46"/>
  <c r="C19" i="46"/>
  <c r="E19" i="46" s="1"/>
  <c r="V18" i="46"/>
  <c r="P18" i="46"/>
  <c r="P65" i="46" s="1"/>
  <c r="P103" i="46" s="1"/>
  <c r="E18" i="46"/>
  <c r="V17" i="46"/>
  <c r="K17" i="46"/>
  <c r="U17" i="46" s="1"/>
  <c r="W17" i="46" s="1"/>
  <c r="G17" i="46"/>
  <c r="E17" i="46"/>
  <c r="V16" i="46"/>
  <c r="U16" i="46"/>
  <c r="W16" i="46" s="1"/>
  <c r="E16" i="46"/>
  <c r="V15" i="46"/>
  <c r="U15" i="46"/>
  <c r="W15" i="46" s="1"/>
  <c r="F15" i="46"/>
  <c r="H15" i="46" s="1"/>
  <c r="E15" i="46"/>
  <c r="G15" i="46" s="1"/>
  <c r="V14" i="46"/>
  <c r="W14" i="46" s="1"/>
  <c r="U14" i="46"/>
  <c r="G14" i="46"/>
  <c r="F14" i="46"/>
  <c r="H14" i="46" s="1"/>
  <c r="E14" i="46"/>
  <c r="Y14" i="46" s="1"/>
  <c r="W13" i="46"/>
  <c r="V13" i="46"/>
  <c r="U13" i="46"/>
  <c r="H13" i="46"/>
  <c r="X13" i="46" s="1"/>
  <c r="G13" i="46"/>
  <c r="E13" i="46"/>
  <c r="F13" i="46" s="1"/>
  <c r="V12" i="46"/>
  <c r="U12" i="46"/>
  <c r="W12" i="46" s="1"/>
  <c r="E12" i="46"/>
  <c r="Y12" i="46" s="1"/>
  <c r="V11" i="46"/>
  <c r="U11" i="46"/>
  <c r="W11" i="46" s="1"/>
  <c r="F11" i="46"/>
  <c r="H11" i="46" s="1"/>
  <c r="X11" i="46" s="1"/>
  <c r="E11" i="46"/>
  <c r="G11" i="46" s="1"/>
  <c r="C11" i="46"/>
  <c r="V10" i="46"/>
  <c r="U10" i="46"/>
  <c r="W10" i="46" s="1"/>
  <c r="E10" i="46"/>
  <c r="F10" i="46" s="1"/>
  <c r="V9" i="46"/>
  <c r="U9" i="46"/>
  <c r="W9" i="46" s="1"/>
  <c r="E9" i="46"/>
  <c r="C9" i="46"/>
  <c r="C65" i="46" s="1"/>
  <c r="W8" i="46"/>
  <c r="H8" i="46"/>
  <c r="G8" i="46"/>
  <c r="A3" i="46"/>
  <c r="H44" i="47" l="1"/>
  <c r="H43" i="47"/>
  <c r="H42" i="47"/>
  <c r="H41" i="47"/>
  <c r="H39" i="47"/>
  <c r="H37" i="47"/>
  <c r="H32" i="47"/>
  <c r="X32" i="47" s="1"/>
  <c r="D50" i="47"/>
  <c r="J50" i="47"/>
  <c r="C50" i="47"/>
  <c r="K50" i="47"/>
  <c r="H12" i="47"/>
  <c r="V19" i="47"/>
  <c r="W23" i="47"/>
  <c r="W27" i="47"/>
  <c r="X31" i="47"/>
  <c r="U49" i="47"/>
  <c r="X45" i="47"/>
  <c r="P50" i="47"/>
  <c r="T50" i="47"/>
  <c r="W12" i="47"/>
  <c r="W13" i="47" s="1"/>
  <c r="F50" i="47"/>
  <c r="Y17" i="47"/>
  <c r="W18" i="47"/>
  <c r="Y28" i="47"/>
  <c r="V49" i="47"/>
  <c r="V50" i="47" s="1"/>
  <c r="W43" i="47"/>
  <c r="U44" i="47"/>
  <c r="W44" i="47" s="1"/>
  <c r="X44" i="47" s="1"/>
  <c r="G45" i="47"/>
  <c r="G49" i="47" s="1"/>
  <c r="Y46" i="47"/>
  <c r="N50" i="47"/>
  <c r="I50" i="47"/>
  <c r="M50" i="47"/>
  <c r="Q50" i="47"/>
  <c r="U13" i="47"/>
  <c r="U50" i="47" s="1"/>
  <c r="W17" i="47"/>
  <c r="Y22" i="47"/>
  <c r="U29" i="47"/>
  <c r="Y27" i="47"/>
  <c r="Y47" i="47"/>
  <c r="Y26" i="47"/>
  <c r="X33" i="47"/>
  <c r="X34" i="47"/>
  <c r="X35" i="47"/>
  <c r="X36" i="47"/>
  <c r="X37" i="47"/>
  <c r="X38" i="47"/>
  <c r="X39" i="47"/>
  <c r="X40" i="47"/>
  <c r="X41" i="47"/>
  <c r="X42" i="47"/>
  <c r="Y12" i="47"/>
  <c r="Y13" i="47" s="1"/>
  <c r="X12" i="47"/>
  <c r="X13" i="47" s="1"/>
  <c r="Y18" i="47"/>
  <c r="Y25" i="47"/>
  <c r="Y32" i="47"/>
  <c r="G8" i="47"/>
  <c r="G9" i="47" s="1"/>
  <c r="W8" i="47"/>
  <c r="W9" i="47" s="1"/>
  <c r="E9" i="47"/>
  <c r="G16" i="47"/>
  <c r="W16" i="47"/>
  <c r="W19" i="47" s="1"/>
  <c r="G17" i="47"/>
  <c r="G18" i="47"/>
  <c r="W24" i="47"/>
  <c r="W29" i="47" s="1"/>
  <c r="G25" i="47"/>
  <c r="G26" i="47"/>
  <c r="G27" i="47"/>
  <c r="G28" i="47"/>
  <c r="Y37" i="47"/>
  <c r="Y38" i="47"/>
  <c r="Y39" i="47"/>
  <c r="Y40" i="47"/>
  <c r="Y41" i="47"/>
  <c r="Y42" i="47"/>
  <c r="H46" i="47"/>
  <c r="X46" i="47" s="1"/>
  <c r="H47" i="47"/>
  <c r="X47" i="47" s="1"/>
  <c r="R50" i="47"/>
  <c r="H8" i="47"/>
  <c r="H13" i="47"/>
  <c r="H16" i="47"/>
  <c r="H17" i="47"/>
  <c r="X17" i="47" s="1"/>
  <c r="H18" i="47"/>
  <c r="X18" i="47" s="1"/>
  <c r="E19" i="47"/>
  <c r="H25" i="47"/>
  <c r="X25" i="47" s="1"/>
  <c r="H26" i="47"/>
  <c r="X26" i="47" s="1"/>
  <c r="H27" i="47"/>
  <c r="H28" i="47"/>
  <c r="X28" i="47" s="1"/>
  <c r="E29" i="47"/>
  <c r="Y44" i="47"/>
  <c r="F9" i="46"/>
  <c r="E65" i="46"/>
  <c r="G9" i="46"/>
  <c r="Y9" i="46"/>
  <c r="Y26" i="46"/>
  <c r="F26" i="46"/>
  <c r="G26" i="46"/>
  <c r="H74" i="46"/>
  <c r="F74" i="46"/>
  <c r="G18" i="46"/>
  <c r="G27" i="46"/>
  <c r="F27" i="46"/>
  <c r="H27" i="46" s="1"/>
  <c r="Y38" i="46"/>
  <c r="G38" i="46"/>
  <c r="G60" i="46"/>
  <c r="F60" i="46"/>
  <c r="H60" i="46" s="1"/>
  <c r="H70" i="46"/>
  <c r="E80" i="46"/>
  <c r="Y70" i="46"/>
  <c r="W80" i="46"/>
  <c r="H87" i="46"/>
  <c r="X87" i="46" s="1"/>
  <c r="Y87" i="46"/>
  <c r="F87" i="46"/>
  <c r="C103" i="46"/>
  <c r="G16" i="46"/>
  <c r="F16" i="46"/>
  <c r="F18" i="46"/>
  <c r="F38" i="46"/>
  <c r="H38" i="46" s="1"/>
  <c r="X38" i="46" s="1"/>
  <c r="Y52" i="46"/>
  <c r="G52" i="46"/>
  <c r="F52" i="46"/>
  <c r="H52" i="46" s="1"/>
  <c r="X52" i="46" s="1"/>
  <c r="Y96" i="46"/>
  <c r="F96" i="46"/>
  <c r="H96" i="46"/>
  <c r="X96" i="46" s="1"/>
  <c r="X15" i="46"/>
  <c r="Y16" i="46"/>
  <c r="H19" i="46"/>
  <c r="X19" i="46" s="1"/>
  <c r="Y21" i="46"/>
  <c r="G21" i="46"/>
  <c r="H21" i="46" s="1"/>
  <c r="X21" i="46" s="1"/>
  <c r="Y25" i="46"/>
  <c r="V102" i="46"/>
  <c r="F93" i="46"/>
  <c r="Y93" i="46"/>
  <c r="H93" i="46"/>
  <c r="X93" i="46" s="1"/>
  <c r="G12" i="46"/>
  <c r="F12" i="46"/>
  <c r="G20" i="46"/>
  <c r="F20" i="46"/>
  <c r="H20" i="46" s="1"/>
  <c r="X20" i="46" s="1"/>
  <c r="Y20" i="46"/>
  <c r="H84" i="46"/>
  <c r="X8" i="46"/>
  <c r="X14" i="46"/>
  <c r="Y17" i="46"/>
  <c r="Y22" i="46"/>
  <c r="Y24" i="46"/>
  <c r="G28" i="46"/>
  <c r="F28" i="46"/>
  <c r="H28" i="46" s="1"/>
  <c r="X28" i="46" s="1"/>
  <c r="X34" i="46"/>
  <c r="F36" i="46"/>
  <c r="Y36" i="46"/>
  <c r="X42" i="46"/>
  <c r="F44" i="46"/>
  <c r="H44" i="46" s="1"/>
  <c r="X44" i="46" s="1"/>
  <c r="Y44" i="46"/>
  <c r="F48" i="46"/>
  <c r="G48" i="46"/>
  <c r="Y55" i="46"/>
  <c r="G55" i="46"/>
  <c r="F84" i="46"/>
  <c r="H99" i="46"/>
  <c r="X99" i="46" s="1"/>
  <c r="Y99" i="46"/>
  <c r="F99" i="46"/>
  <c r="Y8" i="46"/>
  <c r="Y11" i="46"/>
  <c r="Y15" i="46"/>
  <c r="U18" i="46"/>
  <c r="W18" i="46" s="1"/>
  <c r="Y18" i="46" s="1"/>
  <c r="Y19" i="46"/>
  <c r="F22" i="46"/>
  <c r="H22" i="46" s="1"/>
  <c r="X22" i="46" s="1"/>
  <c r="F23" i="46"/>
  <c r="H23" i="46" s="1"/>
  <c r="X23" i="46" s="1"/>
  <c r="Y23" i="46"/>
  <c r="H24" i="46"/>
  <c r="X24" i="46" s="1"/>
  <c r="W27" i="46"/>
  <c r="Y27" i="46" s="1"/>
  <c r="Y28" i="46"/>
  <c r="G35" i="46"/>
  <c r="Y35" i="46"/>
  <c r="F35" i="46"/>
  <c r="H35" i="46" s="1"/>
  <c r="X35" i="46" s="1"/>
  <c r="G36" i="46"/>
  <c r="G43" i="46"/>
  <c r="Y43" i="46"/>
  <c r="F43" i="46"/>
  <c r="H43" i="46" s="1"/>
  <c r="X43" i="46" s="1"/>
  <c r="G44" i="46"/>
  <c r="W49" i="46"/>
  <c r="F55" i="46"/>
  <c r="H55" i="46" s="1"/>
  <c r="X55" i="46" s="1"/>
  <c r="H59" i="46"/>
  <c r="X59" i="46" s="1"/>
  <c r="Y59" i="46"/>
  <c r="U65" i="46"/>
  <c r="X69" i="46"/>
  <c r="Y69" i="46"/>
  <c r="F80" i="46"/>
  <c r="F79" i="46"/>
  <c r="Y79" i="46"/>
  <c r="H79" i="46"/>
  <c r="X79" i="46" s="1"/>
  <c r="X90" i="46"/>
  <c r="H95" i="46"/>
  <c r="X95" i="46" s="1"/>
  <c r="F95" i="46"/>
  <c r="Y95" i="46"/>
  <c r="U101" i="46"/>
  <c r="G102" i="46"/>
  <c r="F97" i="46"/>
  <c r="H97" i="46"/>
  <c r="X97" i="46" s="1"/>
  <c r="V65" i="46"/>
  <c r="Y13" i="46"/>
  <c r="Y29" i="46"/>
  <c r="Y33" i="46"/>
  <c r="Y41" i="46"/>
  <c r="G49" i="46"/>
  <c r="Y49" i="46"/>
  <c r="Y51" i="46"/>
  <c r="Y54" i="46"/>
  <c r="X62" i="46"/>
  <c r="U80" i="46"/>
  <c r="U102" i="46" s="1"/>
  <c r="U103" i="46" s="1"/>
  <c r="H83" i="46"/>
  <c r="Y83" i="46"/>
  <c r="F85" i="46"/>
  <c r="Y85" i="46"/>
  <c r="F17" i="46"/>
  <c r="H17" i="46" s="1"/>
  <c r="X17" i="46" s="1"/>
  <c r="G32" i="46"/>
  <c r="H32" i="46" s="1"/>
  <c r="X32" i="46" s="1"/>
  <c r="G40" i="46"/>
  <c r="H40" i="46" s="1"/>
  <c r="X40" i="46" s="1"/>
  <c r="F46" i="46"/>
  <c r="H46" i="46" s="1"/>
  <c r="X46" i="46" s="1"/>
  <c r="G46" i="46"/>
  <c r="W48" i="46"/>
  <c r="Y48" i="46" s="1"/>
  <c r="F49" i="46"/>
  <c r="H49" i="46" s="1"/>
  <c r="X49" i="46" s="1"/>
  <c r="F50" i="46"/>
  <c r="H50" i="46" s="1"/>
  <c r="X50" i="46" s="1"/>
  <c r="Y50" i="46"/>
  <c r="H51" i="46"/>
  <c r="X51" i="46" s="1"/>
  <c r="H54" i="46"/>
  <c r="X54" i="46" s="1"/>
  <c r="W60" i="46"/>
  <c r="Y60" i="46" s="1"/>
  <c r="H67" i="46"/>
  <c r="X67" i="46" s="1"/>
  <c r="W74" i="46"/>
  <c r="Y74" i="46" s="1"/>
  <c r="F83" i="46"/>
  <c r="W84" i="46"/>
  <c r="W101" i="46" s="1"/>
  <c r="Y100" i="46"/>
  <c r="H100" i="46"/>
  <c r="X100" i="46" s="1"/>
  <c r="E101" i="46"/>
  <c r="F57" i="46"/>
  <c r="H57" i="46" s="1"/>
  <c r="X57" i="46" s="1"/>
  <c r="G57" i="46"/>
  <c r="F61" i="46"/>
  <c r="H61" i="46" s="1"/>
  <c r="X61" i="46" s="1"/>
  <c r="Y61" i="46"/>
  <c r="Y53" i="46"/>
  <c r="I102" i="46"/>
  <c r="I103" i="46" s="1"/>
  <c r="M102" i="46"/>
  <c r="M103" i="46" s="1"/>
  <c r="Q102" i="46"/>
  <c r="Q103" i="46" s="1"/>
  <c r="W82" i="46"/>
  <c r="W88" i="46"/>
  <c r="Y90" i="46"/>
  <c r="X91" i="46"/>
  <c r="X43" i="47" l="1"/>
  <c r="X49" i="47" s="1"/>
  <c r="Y24" i="47"/>
  <c r="Y43" i="47"/>
  <c r="Y49" i="47" s="1"/>
  <c r="W49" i="47"/>
  <c r="W50" i="47" s="1"/>
  <c r="X27" i="47"/>
  <c r="X29" i="47" s="1"/>
  <c r="G29" i="47"/>
  <c r="X24" i="47"/>
  <c r="E50" i="47"/>
  <c r="X16" i="47"/>
  <c r="X19" i="47" s="1"/>
  <c r="H19" i="47"/>
  <c r="H49" i="47"/>
  <c r="Y29" i="47"/>
  <c r="H29" i="47"/>
  <c r="Y16" i="47"/>
  <c r="Y19" i="47" s="1"/>
  <c r="H9" i="47"/>
  <c r="X8" i="47"/>
  <c r="X9" i="47" s="1"/>
  <c r="G19" i="47"/>
  <c r="G50" i="47" s="1"/>
  <c r="Y8" i="47"/>
  <c r="Y9" i="47" s="1"/>
  <c r="X60" i="46"/>
  <c r="F101" i="46"/>
  <c r="G103" i="46"/>
  <c r="W65" i="46"/>
  <c r="X84" i="46"/>
  <c r="H18" i="46"/>
  <c r="X18" i="46" s="1"/>
  <c r="Y80" i="46"/>
  <c r="X27" i="46"/>
  <c r="H26" i="46"/>
  <c r="X26" i="46" s="1"/>
  <c r="G65" i="46"/>
  <c r="W102" i="46"/>
  <c r="Y101" i="46"/>
  <c r="Y65" i="46"/>
  <c r="H48" i="46"/>
  <c r="X48" i="46" s="1"/>
  <c r="Y84" i="46"/>
  <c r="H12" i="46"/>
  <c r="X12" i="46" s="1"/>
  <c r="H16" i="46"/>
  <c r="X16" i="46" s="1"/>
  <c r="E102" i="46"/>
  <c r="E103" i="46" s="1"/>
  <c r="Y88" i="46"/>
  <c r="X88" i="46"/>
  <c r="H101" i="46"/>
  <c r="X83" i="46"/>
  <c r="F102" i="46"/>
  <c r="F103" i="46" s="1"/>
  <c r="H36" i="46"/>
  <c r="X36" i="46" s="1"/>
  <c r="V103" i="46"/>
  <c r="H80" i="46"/>
  <c r="X70" i="46"/>
  <c r="X74" i="46"/>
  <c r="F65" i="46"/>
  <c r="H9" i="46"/>
  <c r="X50" i="47" l="1"/>
  <c r="Y50" i="47"/>
  <c r="H50" i="47"/>
  <c r="X80" i="46"/>
  <c r="H102" i="46"/>
  <c r="Y102" i="46"/>
  <c r="Y103" i="46" s="1"/>
  <c r="X9" i="46"/>
  <c r="X65" i="46" s="1"/>
  <c r="H65" i="46"/>
  <c r="W103" i="46"/>
  <c r="X101" i="46"/>
  <c r="H103" i="46" l="1"/>
  <c r="X102" i="46"/>
  <c r="X103" i="46" s="1"/>
  <c r="T30" i="39" l="1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R37" i="22"/>
  <c r="D106" i="22"/>
  <c r="D107" i="22" s="1"/>
  <c r="D105" i="22"/>
  <c r="D98" i="22"/>
  <c r="D88" i="22"/>
  <c r="D33" i="22"/>
  <c r="R90" i="42"/>
  <c r="P25" i="13"/>
  <c r="W39" i="21"/>
  <c r="S13" i="13"/>
  <c r="P13" i="13"/>
  <c r="Y13" i="31"/>
  <c r="X8" i="31"/>
  <c r="Z16" i="30"/>
  <c r="O13" i="4" l="1"/>
  <c r="V12" i="5"/>
  <c r="R11" i="5"/>
  <c r="U10" i="5"/>
  <c r="U9" i="5"/>
  <c r="AB49" i="18"/>
  <c r="U39" i="18"/>
  <c r="S39" i="18"/>
  <c r="AF59" i="25" l="1"/>
  <c r="AD57" i="25"/>
  <c r="AD52" i="25"/>
  <c r="V98" i="9" l="1"/>
  <c r="U98" i="9"/>
  <c r="W98" i="9" s="1"/>
  <c r="E98" i="9"/>
  <c r="F98" i="9" s="1"/>
  <c r="G98" i="9"/>
  <c r="V14" i="12"/>
  <c r="H98" i="9" l="1"/>
  <c r="X98" i="9" s="1"/>
  <c r="Y98" i="9"/>
  <c r="J29" i="40" l="1"/>
  <c r="AA141" i="26" l="1"/>
  <c r="Y133" i="26"/>
  <c r="W40" i="26"/>
  <c r="Y10" i="26" l="1"/>
  <c r="Z41" i="21"/>
  <c r="Q39" i="21"/>
  <c r="U39" i="21"/>
  <c r="K56" i="24"/>
  <c r="W36" i="29" l="1"/>
  <c r="V34" i="29"/>
  <c r="T34" i="29"/>
  <c r="W37" i="19"/>
  <c r="AA34" i="19" l="1"/>
  <c r="Z30" i="29"/>
  <c r="T40" i="8" l="1"/>
  <c r="H85" i="8"/>
  <c r="H86" i="8" s="1"/>
  <c r="H87" i="8" s="1"/>
  <c r="H69" i="8"/>
  <c r="H55" i="8"/>
  <c r="H31" i="8"/>
  <c r="N19" i="40" l="1"/>
  <c r="M19" i="40"/>
  <c r="D19" i="40"/>
  <c r="AD119" i="29"/>
  <c r="AD120" i="29"/>
  <c r="AD121" i="29"/>
  <c r="W8" i="9"/>
  <c r="X34" i="37"/>
  <c r="X33" i="37"/>
  <c r="X32" i="37"/>
  <c r="X31" i="37"/>
  <c r="X30" i="37"/>
  <c r="X28" i="37"/>
  <c r="X27" i="37"/>
  <c r="X26" i="37"/>
  <c r="X25" i="37"/>
  <c r="X24" i="37"/>
  <c r="X22" i="37"/>
  <c r="X21" i="37"/>
  <c r="X20" i="37"/>
  <c r="X19" i="37"/>
  <c r="X18" i="37"/>
  <c r="X16" i="37"/>
  <c r="X15" i="37"/>
  <c r="X14" i="37"/>
  <c r="X12" i="37"/>
  <c r="X11" i="37"/>
  <c r="X10" i="37"/>
  <c r="X9" i="37"/>
  <c r="D112" i="23" l="1"/>
  <c r="D65" i="23"/>
  <c r="D66" i="23" s="1"/>
  <c r="D61" i="23"/>
  <c r="D57" i="23"/>
  <c r="D30" i="23"/>
  <c r="D67" i="23" l="1"/>
  <c r="D77" i="25"/>
  <c r="D71" i="25"/>
  <c r="D42" i="25"/>
  <c r="D41" i="25"/>
  <c r="D67" i="25"/>
  <c r="E103" i="25"/>
  <c r="E104" i="25" s="1"/>
  <c r="E105" i="25" s="1"/>
  <c r="D103" i="25"/>
  <c r="D104" i="25" s="1"/>
  <c r="G93" i="25"/>
  <c r="F93" i="25"/>
  <c r="E93" i="25"/>
  <c r="D93" i="25"/>
  <c r="D83" i="25"/>
  <c r="F30" i="25"/>
  <c r="E30" i="25"/>
  <c r="D30" i="25"/>
  <c r="G42" i="41"/>
  <c r="E48" i="41"/>
  <c r="E44" i="41"/>
  <c r="E42" i="41"/>
  <c r="E76" i="41"/>
  <c r="E67" i="41"/>
  <c r="AD73" i="25"/>
  <c r="AF73" i="25" s="1"/>
  <c r="AE73" i="25"/>
  <c r="P73" i="25"/>
  <c r="N73" i="25"/>
  <c r="O73" i="25" s="1"/>
  <c r="Q73" i="25" s="1"/>
  <c r="N74" i="25"/>
  <c r="E83" i="25"/>
  <c r="D57" i="24"/>
  <c r="D53" i="24"/>
  <c r="D110" i="24"/>
  <c r="D113" i="24"/>
  <c r="D137" i="24" s="1"/>
  <c r="D138" i="24" s="1"/>
  <c r="D45" i="24"/>
  <c r="D130" i="24"/>
  <c r="D134" i="24"/>
  <c r="D133" i="24"/>
  <c r="D135" i="24"/>
  <c r="D136" i="24"/>
  <c r="D39" i="24"/>
  <c r="D89" i="24"/>
  <c r="D90" i="24" s="1"/>
  <c r="D76" i="24"/>
  <c r="D29" i="24"/>
  <c r="F101" i="25"/>
  <c r="F103" i="25"/>
  <c r="F104" i="25" s="1"/>
  <c r="F83" i="25"/>
  <c r="D45" i="10"/>
  <c r="D46" i="10"/>
  <c r="D47" i="10" s="1"/>
  <c r="D35" i="10"/>
  <c r="D48" i="8"/>
  <c r="D41" i="8"/>
  <c r="D68" i="8"/>
  <c r="D69" i="8" s="1"/>
  <c r="D77" i="8"/>
  <c r="E85" i="8"/>
  <c r="E86" i="8" s="1"/>
  <c r="D85" i="8"/>
  <c r="G69" i="8"/>
  <c r="F69" i="8"/>
  <c r="E69" i="8"/>
  <c r="G55" i="8"/>
  <c r="F55" i="8"/>
  <c r="E55" i="8"/>
  <c r="D55" i="8"/>
  <c r="D26" i="8"/>
  <c r="AB102" i="22"/>
  <c r="AD102" i="22" s="1"/>
  <c r="AC102" i="22"/>
  <c r="M102" i="22"/>
  <c r="N102" i="22"/>
  <c r="O102" i="22"/>
  <c r="L102" i="22"/>
  <c r="L103" i="22"/>
  <c r="E102" i="22"/>
  <c r="E103" i="22"/>
  <c r="E105" i="22"/>
  <c r="E106" i="22" s="1"/>
  <c r="E107" i="22" s="1"/>
  <c r="E98" i="22"/>
  <c r="E88" i="22"/>
  <c r="E33" i="22"/>
  <c r="D38" i="20"/>
  <c r="D36" i="20"/>
  <c r="D58" i="20" s="1"/>
  <c r="D69" i="20"/>
  <c r="D77" i="20"/>
  <c r="D78" i="20" s="1"/>
  <c r="D43" i="20"/>
  <c r="D47" i="20"/>
  <c r="D48" i="20"/>
  <c r="D37" i="20"/>
  <c r="D34" i="20"/>
  <c r="D105" i="25" l="1"/>
  <c r="E78" i="41"/>
  <c r="AH73" i="25"/>
  <c r="AG73" i="25"/>
  <c r="F105" i="25"/>
  <c r="D69" i="24"/>
  <c r="D91" i="24" s="1"/>
  <c r="D86" i="8"/>
  <c r="D87" i="8" s="1"/>
  <c r="AE102" i="22"/>
  <c r="AF102" i="22"/>
  <c r="D79" i="20"/>
  <c r="U115" i="23" l="1"/>
  <c r="U99" i="23"/>
  <c r="U110" i="23"/>
  <c r="W36" i="21"/>
  <c r="X37" i="19"/>
  <c r="T53" i="18"/>
  <c r="T61" i="18"/>
  <c r="T60" i="18"/>
  <c r="V48" i="36" l="1"/>
  <c r="U48" i="36"/>
  <c r="V47" i="36"/>
  <c r="U47" i="36"/>
  <c r="V46" i="36"/>
  <c r="U46" i="36"/>
  <c r="V45" i="36"/>
  <c r="U45" i="36"/>
  <c r="V44" i="36"/>
  <c r="U44" i="36"/>
  <c r="V43" i="36"/>
  <c r="U43" i="36"/>
  <c r="V42" i="36"/>
  <c r="U42" i="36"/>
  <c r="V41" i="36"/>
  <c r="U41" i="36"/>
  <c r="V40" i="36"/>
  <c r="U40" i="36"/>
  <c r="V39" i="36"/>
  <c r="U39" i="36"/>
  <c r="V38" i="36"/>
  <c r="U38" i="36"/>
  <c r="V37" i="36"/>
  <c r="U37" i="36"/>
  <c r="V36" i="36"/>
  <c r="U36" i="36"/>
  <c r="V35" i="36"/>
  <c r="U35" i="36"/>
  <c r="V34" i="36"/>
  <c r="U34" i="36"/>
  <c r="V33" i="36"/>
  <c r="U33" i="36"/>
  <c r="V32" i="36"/>
  <c r="U32" i="36"/>
  <c r="V29" i="36"/>
  <c r="U29" i="36"/>
  <c r="V28" i="36"/>
  <c r="U28" i="36"/>
  <c r="V27" i="36"/>
  <c r="U27" i="36"/>
  <c r="V26" i="36"/>
  <c r="U26" i="36"/>
  <c r="V25" i="36"/>
  <c r="U25" i="36"/>
  <c r="V24" i="36"/>
  <c r="U24" i="36"/>
  <c r="V23" i="36"/>
  <c r="U23" i="36"/>
  <c r="V22" i="36"/>
  <c r="U22" i="36"/>
  <c r="V18" i="36"/>
  <c r="U18" i="36"/>
  <c r="V17" i="36"/>
  <c r="U17" i="36"/>
  <c r="V16" i="36"/>
  <c r="U16" i="36"/>
  <c r="V15" i="36"/>
  <c r="U15" i="36"/>
  <c r="V14" i="36"/>
  <c r="U14" i="36"/>
  <c r="V13" i="36"/>
  <c r="U13" i="36"/>
  <c r="V12" i="36"/>
  <c r="U12" i="36"/>
  <c r="V8" i="36"/>
  <c r="U8" i="36"/>
  <c r="W10" i="26"/>
  <c r="X10" i="26"/>
  <c r="W11" i="26"/>
  <c r="X11" i="26"/>
  <c r="W12" i="26"/>
  <c r="X12" i="26"/>
  <c r="W13" i="26"/>
  <c r="X13" i="26"/>
  <c r="W14" i="26"/>
  <c r="X14" i="26"/>
  <c r="W15" i="26"/>
  <c r="X15" i="26"/>
  <c r="W16" i="26"/>
  <c r="X16" i="26"/>
  <c r="W17" i="26"/>
  <c r="X17" i="26"/>
  <c r="W18" i="26"/>
  <c r="X18" i="26"/>
  <c r="W19" i="26"/>
  <c r="X19" i="26"/>
  <c r="W20" i="26"/>
  <c r="X20" i="26"/>
  <c r="W21" i="26"/>
  <c r="X21" i="26"/>
  <c r="W22" i="26"/>
  <c r="X22" i="26"/>
  <c r="W23" i="26"/>
  <c r="X23" i="26"/>
  <c r="W24" i="26"/>
  <c r="X24" i="26"/>
  <c r="W25" i="26"/>
  <c r="X25" i="26"/>
  <c r="W26" i="26"/>
  <c r="X26" i="26"/>
  <c r="W27" i="26"/>
  <c r="X27" i="26"/>
  <c r="W28" i="26"/>
  <c r="X28" i="26"/>
  <c r="W29" i="26"/>
  <c r="X29" i="26"/>
  <c r="W30" i="26"/>
  <c r="X30" i="26"/>
  <c r="W31" i="26"/>
  <c r="X31" i="26"/>
  <c r="W32" i="26"/>
  <c r="X32" i="26"/>
  <c r="W33" i="26"/>
  <c r="X33" i="26"/>
  <c r="W34" i="26"/>
  <c r="X34" i="26"/>
  <c r="W35" i="26"/>
  <c r="X35" i="26"/>
  <c r="W36" i="26"/>
  <c r="X36" i="26"/>
  <c r="W37" i="26"/>
  <c r="X37" i="26"/>
  <c r="W38" i="26"/>
  <c r="X38" i="26"/>
  <c r="W39" i="26"/>
  <c r="X39" i="26"/>
  <c r="X40" i="26"/>
  <c r="W41" i="26"/>
  <c r="X41" i="26"/>
  <c r="W42" i="26"/>
  <c r="X42" i="26"/>
  <c r="W43" i="26"/>
  <c r="X43" i="26"/>
  <c r="W44" i="26"/>
  <c r="X44" i="26"/>
  <c r="W45" i="26"/>
  <c r="X45" i="26"/>
  <c r="W46" i="26"/>
  <c r="X46" i="26"/>
  <c r="W47" i="26"/>
  <c r="X47" i="26"/>
  <c r="W48" i="26"/>
  <c r="X48" i="26"/>
  <c r="W49" i="26"/>
  <c r="X49" i="26"/>
  <c r="W50" i="26"/>
  <c r="X50" i="26"/>
  <c r="W51" i="26"/>
  <c r="X51" i="26"/>
  <c r="W52" i="26"/>
  <c r="X52" i="26"/>
  <c r="W53" i="26"/>
  <c r="X53" i="26"/>
  <c r="W54" i="26"/>
  <c r="X54" i="26"/>
  <c r="W55" i="26"/>
  <c r="X55" i="26"/>
  <c r="W56" i="26"/>
  <c r="X56" i="26"/>
  <c r="W57" i="26"/>
  <c r="X57" i="26"/>
  <c r="W58" i="26"/>
  <c r="X58" i="26"/>
  <c r="W59" i="26"/>
  <c r="X59" i="26"/>
  <c r="W60" i="26"/>
  <c r="X60" i="26"/>
  <c r="W61" i="26"/>
  <c r="X61" i="26"/>
  <c r="W62" i="26"/>
  <c r="X62" i="26"/>
  <c r="W63" i="26"/>
  <c r="X63" i="26"/>
  <c r="W64" i="26"/>
  <c r="X64" i="26"/>
  <c r="W65" i="26"/>
  <c r="X65" i="26"/>
  <c r="W66" i="26"/>
  <c r="X66" i="26"/>
  <c r="W67" i="26"/>
  <c r="X67" i="26"/>
  <c r="W68" i="26"/>
  <c r="X68" i="26"/>
  <c r="W69" i="26"/>
  <c r="X69" i="26"/>
  <c r="W70" i="26"/>
  <c r="X70" i="26"/>
  <c r="W71" i="26"/>
  <c r="X71" i="26"/>
  <c r="W72" i="26"/>
  <c r="X72" i="26"/>
  <c r="W73" i="26"/>
  <c r="X73" i="26"/>
  <c r="W74" i="26"/>
  <c r="X74" i="26"/>
  <c r="W75" i="26"/>
  <c r="X75" i="26"/>
  <c r="W76" i="26"/>
  <c r="X76" i="26"/>
  <c r="W77" i="26"/>
  <c r="X77" i="26"/>
  <c r="W78" i="26"/>
  <c r="X78" i="26"/>
  <c r="W79" i="26"/>
  <c r="X79" i="26"/>
  <c r="W80" i="26"/>
  <c r="X80" i="26"/>
  <c r="W81" i="26"/>
  <c r="X81" i="26"/>
  <c r="W82" i="26"/>
  <c r="X82" i="26"/>
  <c r="W83" i="26"/>
  <c r="X83" i="26"/>
  <c r="W84" i="26"/>
  <c r="X84" i="26"/>
  <c r="W85" i="26"/>
  <c r="X85" i="26"/>
  <c r="W86" i="26"/>
  <c r="X86" i="26"/>
  <c r="W87" i="26"/>
  <c r="X87" i="26"/>
  <c r="W88" i="26"/>
  <c r="X88" i="26"/>
  <c r="W89" i="26"/>
  <c r="X89" i="26"/>
  <c r="W90" i="26"/>
  <c r="X90" i="26"/>
  <c r="W91" i="26"/>
  <c r="X91" i="26"/>
  <c r="W92" i="26"/>
  <c r="X92" i="26"/>
  <c r="W93" i="26"/>
  <c r="X93" i="26"/>
  <c r="W94" i="26"/>
  <c r="X94" i="26"/>
  <c r="W95" i="26"/>
  <c r="X95" i="26"/>
  <c r="W96" i="26"/>
  <c r="X96" i="26"/>
  <c r="W97" i="26"/>
  <c r="X97" i="26"/>
  <c r="W98" i="26"/>
  <c r="X98" i="26"/>
  <c r="W99" i="26"/>
  <c r="X99" i="26"/>
  <c r="W100" i="26"/>
  <c r="X100" i="26"/>
  <c r="W101" i="26"/>
  <c r="X101" i="26"/>
  <c r="W102" i="26"/>
  <c r="X102" i="26"/>
  <c r="W103" i="26"/>
  <c r="X103" i="26"/>
  <c r="W104" i="26"/>
  <c r="X104" i="26"/>
  <c r="W105" i="26"/>
  <c r="X105" i="26"/>
  <c r="W106" i="26"/>
  <c r="X106" i="26"/>
  <c r="W107" i="26"/>
  <c r="X107" i="26"/>
  <c r="W108" i="26"/>
  <c r="X108" i="26"/>
  <c r="W109" i="26"/>
  <c r="X109" i="26"/>
  <c r="W110" i="26"/>
  <c r="X110" i="26"/>
  <c r="W111" i="26"/>
  <c r="X111" i="26"/>
  <c r="W112" i="26"/>
  <c r="X112" i="26"/>
  <c r="W113" i="26"/>
  <c r="X113" i="26"/>
  <c r="W114" i="26"/>
  <c r="X114" i="26"/>
  <c r="W115" i="26"/>
  <c r="X115" i="26"/>
  <c r="W116" i="26"/>
  <c r="X116" i="26"/>
  <c r="W117" i="26"/>
  <c r="X117" i="26"/>
  <c r="W118" i="26"/>
  <c r="X118" i="26"/>
  <c r="W119" i="26"/>
  <c r="X119" i="26"/>
  <c r="W120" i="26"/>
  <c r="X120" i="26"/>
  <c r="W121" i="26"/>
  <c r="X121" i="26"/>
  <c r="W122" i="26"/>
  <c r="X122" i="26"/>
  <c r="W123" i="26"/>
  <c r="X123" i="26"/>
  <c r="W124" i="26"/>
  <c r="X124" i="26"/>
  <c r="W125" i="26"/>
  <c r="X125" i="26"/>
  <c r="W126" i="26"/>
  <c r="X126" i="26"/>
  <c r="W127" i="26"/>
  <c r="X127" i="26"/>
  <c r="W128" i="26"/>
  <c r="X128" i="26"/>
  <c r="W129" i="26"/>
  <c r="X129" i="26"/>
  <c r="W130" i="26"/>
  <c r="X130" i="26"/>
  <c r="W131" i="26"/>
  <c r="X131" i="26"/>
  <c r="W132" i="26"/>
  <c r="X132" i="26"/>
  <c r="W133" i="26"/>
  <c r="X133" i="26"/>
  <c r="W134" i="26"/>
  <c r="X134" i="26"/>
  <c r="W135" i="26"/>
  <c r="X135" i="26"/>
  <c r="W136" i="26"/>
  <c r="X136" i="26"/>
  <c r="W137" i="26"/>
  <c r="X137" i="26"/>
  <c r="W138" i="26"/>
  <c r="X138" i="26"/>
  <c r="W139" i="26"/>
  <c r="X139" i="26"/>
  <c r="W140" i="26"/>
  <c r="X140" i="26"/>
  <c r="X9" i="26"/>
  <c r="W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H65" i="26"/>
  <c r="H66" i="26"/>
  <c r="H67" i="26"/>
  <c r="H68" i="26"/>
  <c r="H69" i="26"/>
  <c r="H70" i="26"/>
  <c r="H71" i="26"/>
  <c r="H72" i="26"/>
  <c r="H73" i="26"/>
  <c r="H74" i="26"/>
  <c r="H75" i="26"/>
  <c r="H76" i="26"/>
  <c r="H77" i="26"/>
  <c r="H78" i="26"/>
  <c r="H79" i="26"/>
  <c r="H80" i="26"/>
  <c r="H81" i="26"/>
  <c r="H82" i="26"/>
  <c r="H83" i="26"/>
  <c r="H84" i="26"/>
  <c r="H85" i="26"/>
  <c r="H86" i="26"/>
  <c r="H87" i="26"/>
  <c r="H88" i="26"/>
  <c r="H89" i="26"/>
  <c r="H90" i="26"/>
  <c r="H91" i="26"/>
  <c r="H92" i="26"/>
  <c r="H93" i="26"/>
  <c r="H94" i="26"/>
  <c r="H95" i="26"/>
  <c r="H96" i="26"/>
  <c r="H97" i="26"/>
  <c r="H98" i="26"/>
  <c r="H99" i="26"/>
  <c r="H100" i="26"/>
  <c r="H101" i="26"/>
  <c r="H102" i="26"/>
  <c r="H103" i="26"/>
  <c r="H104" i="26"/>
  <c r="H105" i="26"/>
  <c r="H106" i="26"/>
  <c r="H107" i="26"/>
  <c r="H108" i="26"/>
  <c r="H109" i="26"/>
  <c r="H110" i="26"/>
  <c r="H111" i="26"/>
  <c r="H112" i="26"/>
  <c r="H113" i="26"/>
  <c r="H114" i="26"/>
  <c r="H115" i="26"/>
  <c r="H116" i="26"/>
  <c r="H117" i="26"/>
  <c r="H118" i="26"/>
  <c r="H119" i="26"/>
  <c r="H120" i="26"/>
  <c r="H121" i="26"/>
  <c r="H122" i="26"/>
  <c r="H123" i="26"/>
  <c r="H124" i="26"/>
  <c r="H125" i="26"/>
  <c r="H126" i="26"/>
  <c r="H127" i="26"/>
  <c r="H128" i="26"/>
  <c r="H129" i="26"/>
  <c r="H130" i="26"/>
  <c r="H131" i="26"/>
  <c r="H132" i="26"/>
  <c r="H133" i="26"/>
  <c r="H134" i="26"/>
  <c r="H135" i="26"/>
  <c r="H136" i="26"/>
  <c r="H137" i="26"/>
  <c r="H138" i="26"/>
  <c r="H139" i="26"/>
  <c r="H140" i="26"/>
  <c r="H9" i="26"/>
  <c r="AA121" i="29"/>
  <c r="Z121" i="29"/>
  <c r="AA120" i="29"/>
  <c r="Z120" i="29"/>
  <c r="AA119" i="29"/>
  <c r="Z119" i="29"/>
  <c r="AA118" i="29"/>
  <c r="Z118" i="29"/>
  <c r="AA117" i="29"/>
  <c r="Z117" i="29"/>
  <c r="AA116" i="29"/>
  <c r="Z116" i="29"/>
  <c r="AA115" i="29"/>
  <c r="Z115" i="29"/>
  <c r="AA114" i="29"/>
  <c r="Z114" i="29"/>
  <c r="AA113" i="29"/>
  <c r="Z113" i="29"/>
  <c r="AA112" i="29"/>
  <c r="Z112" i="29"/>
  <c r="AA111" i="29"/>
  <c r="Z111" i="29"/>
  <c r="AA110" i="29"/>
  <c r="Z110" i="29"/>
  <c r="AA109" i="29"/>
  <c r="Z109" i="29"/>
  <c r="AA108" i="29"/>
  <c r="Z108" i="29"/>
  <c r="AA107" i="29"/>
  <c r="Z107" i="29"/>
  <c r="AA106" i="29"/>
  <c r="Z106" i="29"/>
  <c r="AA105" i="29"/>
  <c r="Z105" i="29"/>
  <c r="AA104" i="29"/>
  <c r="Z104" i="29"/>
  <c r="AA103" i="29"/>
  <c r="Z103" i="29"/>
  <c r="AA102" i="29"/>
  <c r="Z102" i="29"/>
  <c r="AA101" i="29"/>
  <c r="Z101" i="29"/>
  <c r="AA100" i="29"/>
  <c r="Z100" i="29"/>
  <c r="AA99" i="29"/>
  <c r="Z99" i="29"/>
  <c r="AA98" i="29"/>
  <c r="Z98" i="29"/>
  <c r="AA97" i="29"/>
  <c r="Z97" i="29"/>
  <c r="AA96" i="29"/>
  <c r="Z96" i="29"/>
  <c r="AA95" i="29"/>
  <c r="Z95" i="29"/>
  <c r="AA94" i="29"/>
  <c r="Z94" i="29"/>
  <c r="AA93" i="29"/>
  <c r="Z93" i="29"/>
  <c r="AA92" i="29"/>
  <c r="Z92" i="29"/>
  <c r="AA91" i="29"/>
  <c r="Z91" i="29"/>
  <c r="AA90" i="29"/>
  <c r="Z90" i="29"/>
  <c r="AA89" i="29"/>
  <c r="Z89" i="29"/>
  <c r="AA88" i="29"/>
  <c r="Z88" i="29"/>
  <c r="AA87" i="29"/>
  <c r="Z87" i="29"/>
  <c r="AA86" i="29"/>
  <c r="Z86" i="29"/>
  <c r="AA85" i="29"/>
  <c r="Z85" i="29"/>
  <c r="AA84" i="29"/>
  <c r="Z84" i="29"/>
  <c r="AA83" i="29"/>
  <c r="Z83" i="29"/>
  <c r="AA82" i="29"/>
  <c r="Z82" i="29"/>
  <c r="AA81" i="29"/>
  <c r="Z81" i="29"/>
  <c r="AA80" i="29"/>
  <c r="Z80" i="29"/>
  <c r="AA79" i="29"/>
  <c r="Z79" i="29"/>
  <c r="AA78" i="29"/>
  <c r="Z78" i="29"/>
  <c r="AA77" i="29"/>
  <c r="Z77" i="29"/>
  <c r="AA76" i="29"/>
  <c r="Z76" i="29"/>
  <c r="AA75" i="29"/>
  <c r="Z75" i="29"/>
  <c r="AA74" i="29"/>
  <c r="Z74" i="29"/>
  <c r="AA73" i="29"/>
  <c r="Z73" i="29"/>
  <c r="AA69" i="29"/>
  <c r="Z69" i="29"/>
  <c r="AA68" i="29"/>
  <c r="Z68" i="29"/>
  <c r="AA67" i="29"/>
  <c r="Z67" i="29"/>
  <c r="AA66" i="29"/>
  <c r="Z66" i="29"/>
  <c r="AA65" i="29"/>
  <c r="Z65" i="29"/>
  <c r="AA64" i="29"/>
  <c r="Z64" i="29"/>
  <c r="AA63" i="29"/>
  <c r="Z63" i="29"/>
  <c r="AA62" i="29"/>
  <c r="Z62" i="29"/>
  <c r="AA61" i="29"/>
  <c r="Z61" i="29"/>
  <c r="AA60" i="29"/>
  <c r="Z60" i="29"/>
  <c r="AA59" i="29"/>
  <c r="Z59" i="29"/>
  <c r="AA58" i="29"/>
  <c r="Z58" i="29"/>
  <c r="AA57" i="29"/>
  <c r="Z57" i="29"/>
  <c r="AA56" i="29"/>
  <c r="Z56" i="29"/>
  <c r="AA55" i="29"/>
  <c r="Z55" i="29"/>
  <c r="AA54" i="29"/>
  <c r="Z54" i="29"/>
  <c r="AA53" i="29"/>
  <c r="Z53" i="29"/>
  <c r="AA52" i="29"/>
  <c r="Z52" i="29"/>
  <c r="AA51" i="29"/>
  <c r="Z51" i="29"/>
  <c r="AA46" i="29"/>
  <c r="Z46" i="29"/>
  <c r="AA45" i="29"/>
  <c r="Z45" i="29"/>
  <c r="AA44" i="29"/>
  <c r="Z44" i="29"/>
  <c r="AA43" i="29"/>
  <c r="Z43" i="29"/>
  <c r="AA42" i="29"/>
  <c r="Z42" i="29"/>
  <c r="AA41" i="29"/>
  <c r="Z41" i="29"/>
  <c r="AA40" i="29"/>
  <c r="Z40" i="29"/>
  <c r="AA39" i="29"/>
  <c r="Z39" i="29"/>
  <c r="AA38" i="29"/>
  <c r="Z38" i="29"/>
  <c r="AA37" i="29"/>
  <c r="Z37" i="29"/>
  <c r="AA36" i="29"/>
  <c r="Z36" i="29"/>
  <c r="AA35" i="29"/>
  <c r="Z35" i="29"/>
  <c r="AA34" i="29"/>
  <c r="Z34" i="29"/>
  <c r="AA33" i="29"/>
  <c r="Z33" i="29"/>
  <c r="AA32" i="29"/>
  <c r="Z32" i="29"/>
  <c r="AA31" i="29"/>
  <c r="Z31" i="29"/>
  <c r="Z10" i="29"/>
  <c r="AA10" i="29"/>
  <c r="Z11" i="29"/>
  <c r="AA11" i="29"/>
  <c r="Z12" i="29"/>
  <c r="AA12" i="29"/>
  <c r="Z13" i="29"/>
  <c r="AA13" i="29"/>
  <c r="Z14" i="29"/>
  <c r="AA14" i="29"/>
  <c r="Z15" i="29"/>
  <c r="AA15" i="29"/>
  <c r="Z16" i="29"/>
  <c r="AA16" i="29"/>
  <c r="Z17" i="29"/>
  <c r="AA17" i="29"/>
  <c r="Z18" i="29"/>
  <c r="AA18" i="29"/>
  <c r="Z19" i="29"/>
  <c r="AA19" i="29"/>
  <c r="Z20" i="29"/>
  <c r="AA20" i="29"/>
  <c r="Z21" i="29"/>
  <c r="AA21" i="29"/>
  <c r="Z22" i="29"/>
  <c r="AA22" i="29"/>
  <c r="Z23" i="29"/>
  <c r="AA23" i="29"/>
  <c r="Z24" i="29"/>
  <c r="AA24" i="29"/>
  <c r="Z25" i="29"/>
  <c r="AA25" i="29"/>
  <c r="Z26" i="29"/>
  <c r="AA26" i="29"/>
  <c r="Z27" i="29"/>
  <c r="AA27" i="29"/>
  <c r="Z28" i="29"/>
  <c r="AA28" i="29"/>
  <c r="Z29" i="29"/>
  <c r="AA29" i="29"/>
  <c r="AA9" i="29"/>
  <c r="Z9" i="29"/>
  <c r="K46" i="29"/>
  <c r="K45" i="29"/>
  <c r="K44" i="29"/>
  <c r="K43" i="29"/>
  <c r="K42" i="29"/>
  <c r="K41" i="29"/>
  <c r="K40" i="29"/>
  <c r="K39" i="29"/>
  <c r="K38" i="29"/>
  <c r="K37" i="29"/>
  <c r="K36" i="29"/>
  <c r="K35" i="29"/>
  <c r="K34" i="29"/>
  <c r="K33" i="29"/>
  <c r="K32" i="29"/>
  <c r="K29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0" i="29"/>
  <c r="K11" i="29"/>
  <c r="K12" i="29"/>
  <c r="K13" i="29"/>
  <c r="K9" i="29"/>
  <c r="AE102" i="25"/>
  <c r="AD102" i="25"/>
  <c r="AE101" i="25"/>
  <c r="AD101" i="25"/>
  <c r="AE100" i="25"/>
  <c r="AD100" i="25"/>
  <c r="AE99" i="25"/>
  <c r="AD99" i="25"/>
  <c r="AE98" i="25"/>
  <c r="AD98" i="25"/>
  <c r="AE97" i="25"/>
  <c r="AD97" i="25"/>
  <c r="AE96" i="25"/>
  <c r="AD96" i="25"/>
  <c r="AE95" i="25"/>
  <c r="AD95" i="25"/>
  <c r="AE92" i="25"/>
  <c r="AD92" i="25"/>
  <c r="AE91" i="25"/>
  <c r="AD91" i="25"/>
  <c r="AE90" i="25"/>
  <c r="AD90" i="25"/>
  <c r="AE89" i="25"/>
  <c r="AD89" i="25"/>
  <c r="AE88" i="25"/>
  <c r="AD88" i="25"/>
  <c r="AE87" i="25"/>
  <c r="AD87" i="25"/>
  <c r="AE86" i="25"/>
  <c r="AD86" i="25"/>
  <c r="AE85" i="25"/>
  <c r="AD85" i="25"/>
  <c r="AE82" i="25"/>
  <c r="AD82" i="25"/>
  <c r="AE81" i="25"/>
  <c r="AD81" i="25"/>
  <c r="AE80" i="25"/>
  <c r="AD80" i="25"/>
  <c r="AE79" i="25"/>
  <c r="AD79" i="25"/>
  <c r="AE78" i="25"/>
  <c r="AD78" i="25"/>
  <c r="AE77" i="25"/>
  <c r="AD77" i="25"/>
  <c r="AE76" i="25"/>
  <c r="AD76" i="25"/>
  <c r="AE75" i="25"/>
  <c r="AD75" i="25"/>
  <c r="AE74" i="25"/>
  <c r="AD74" i="25"/>
  <c r="AE72" i="25"/>
  <c r="AD72" i="25"/>
  <c r="AE71" i="25"/>
  <c r="AD71" i="25"/>
  <c r="AE70" i="25"/>
  <c r="AD70" i="25"/>
  <c r="AE69" i="25"/>
  <c r="AD69" i="25"/>
  <c r="AE68" i="25"/>
  <c r="AD68" i="25"/>
  <c r="AE67" i="25"/>
  <c r="AD67" i="25"/>
  <c r="AE66" i="25"/>
  <c r="AD66" i="25"/>
  <c r="AE65" i="25"/>
  <c r="AD65" i="25"/>
  <c r="AE64" i="25"/>
  <c r="AD64" i="25"/>
  <c r="AE63" i="25"/>
  <c r="AD63" i="25"/>
  <c r="AE62" i="25"/>
  <c r="AD62" i="25"/>
  <c r="AE61" i="25"/>
  <c r="AD61" i="25"/>
  <c r="AE60" i="25"/>
  <c r="AD60" i="25"/>
  <c r="AE59" i="25"/>
  <c r="AD59" i="25"/>
  <c r="AE58" i="25"/>
  <c r="AD58" i="25"/>
  <c r="AE57" i="25"/>
  <c r="AE56" i="25"/>
  <c r="AD56" i="25"/>
  <c r="AE55" i="25"/>
  <c r="AD55" i="25"/>
  <c r="AE54" i="25"/>
  <c r="AD54" i="25"/>
  <c r="AE53" i="25"/>
  <c r="AD53" i="25"/>
  <c r="AE52" i="25"/>
  <c r="AE51" i="25"/>
  <c r="AD51" i="25"/>
  <c r="AE50" i="25"/>
  <c r="AD50" i="25"/>
  <c r="AE49" i="25"/>
  <c r="AD49" i="25"/>
  <c r="AE48" i="25"/>
  <c r="AD48" i="25"/>
  <c r="AE47" i="25"/>
  <c r="AD47" i="25"/>
  <c r="AE46" i="25"/>
  <c r="AD46" i="25"/>
  <c r="AE45" i="25"/>
  <c r="AD45" i="25"/>
  <c r="AE44" i="25"/>
  <c r="AD44" i="25"/>
  <c r="AE43" i="25"/>
  <c r="AD43" i="25"/>
  <c r="AE42" i="25"/>
  <c r="AD42" i="25"/>
  <c r="AE41" i="25"/>
  <c r="AD41" i="25"/>
  <c r="AE40" i="25"/>
  <c r="AD40" i="25"/>
  <c r="AE39" i="25"/>
  <c r="AD39" i="25"/>
  <c r="AE38" i="25"/>
  <c r="AD38" i="25"/>
  <c r="AE37" i="25"/>
  <c r="AD37" i="25"/>
  <c r="AE36" i="25"/>
  <c r="AD36" i="25"/>
  <c r="AE35" i="25"/>
  <c r="AD35" i="25"/>
  <c r="AE34" i="25"/>
  <c r="AD34" i="25"/>
  <c r="AE33" i="25"/>
  <c r="AD33" i="25"/>
  <c r="AE32" i="25"/>
  <c r="AE31" i="25"/>
  <c r="AD31" i="25"/>
  <c r="AD9" i="25"/>
  <c r="AE9" i="25"/>
  <c r="AD10" i="25"/>
  <c r="AE10" i="25"/>
  <c r="AD11" i="25"/>
  <c r="AE11" i="25"/>
  <c r="AD12" i="25"/>
  <c r="AE12" i="25"/>
  <c r="AD13" i="25"/>
  <c r="AE13" i="25"/>
  <c r="AD14" i="25"/>
  <c r="AE14" i="25"/>
  <c r="AD15" i="25"/>
  <c r="AE15" i="25"/>
  <c r="AD16" i="25"/>
  <c r="AE16" i="25"/>
  <c r="AD17" i="25"/>
  <c r="AE17" i="25"/>
  <c r="AD18" i="25"/>
  <c r="AE18" i="25"/>
  <c r="AD19" i="25"/>
  <c r="AE19" i="25"/>
  <c r="AD20" i="25"/>
  <c r="AE20" i="25"/>
  <c r="AD21" i="25"/>
  <c r="AE21" i="25"/>
  <c r="AD22" i="25"/>
  <c r="AE22" i="25"/>
  <c r="AD23" i="25"/>
  <c r="AE23" i="25"/>
  <c r="AD24" i="25"/>
  <c r="AE24" i="25"/>
  <c r="AD25" i="25"/>
  <c r="AE25" i="25"/>
  <c r="AD26" i="25"/>
  <c r="AE26" i="25"/>
  <c r="AD27" i="25"/>
  <c r="AE27" i="25"/>
  <c r="AD28" i="25"/>
  <c r="AE28" i="25"/>
  <c r="AD29" i="25"/>
  <c r="AE29" i="25"/>
  <c r="AE8" i="25"/>
  <c r="AD8" i="25"/>
  <c r="O8" i="25"/>
  <c r="AB136" i="24"/>
  <c r="AA136" i="24"/>
  <c r="AB135" i="24"/>
  <c r="AA135" i="24"/>
  <c r="AB134" i="24"/>
  <c r="AA134" i="24"/>
  <c r="AB133" i="24"/>
  <c r="AA133" i="24"/>
  <c r="AB132" i="24"/>
  <c r="AA132" i="24"/>
  <c r="AB131" i="24"/>
  <c r="AA131" i="24"/>
  <c r="AB130" i="24"/>
  <c r="AA130" i="24"/>
  <c r="AB129" i="24"/>
  <c r="AA129" i="24"/>
  <c r="AB128" i="24"/>
  <c r="AA128" i="24"/>
  <c r="AB127" i="24"/>
  <c r="AA127" i="24"/>
  <c r="AB126" i="24"/>
  <c r="AA126" i="24"/>
  <c r="AB125" i="24"/>
  <c r="AA125" i="24"/>
  <c r="AB124" i="24"/>
  <c r="AA124" i="24"/>
  <c r="AB123" i="24"/>
  <c r="AA123" i="24"/>
  <c r="AB122" i="24"/>
  <c r="AB121" i="24"/>
  <c r="AA121" i="24"/>
  <c r="AB120" i="24"/>
  <c r="AA120" i="24"/>
  <c r="AB119" i="24"/>
  <c r="AA119" i="24"/>
  <c r="AB118" i="24"/>
  <c r="AA118" i="24"/>
  <c r="AB117" i="24"/>
  <c r="AA117" i="24"/>
  <c r="AB116" i="24"/>
  <c r="AA116" i="24"/>
  <c r="AB115" i="24"/>
  <c r="AA115" i="24"/>
  <c r="AB114" i="24"/>
  <c r="AA114" i="24"/>
  <c r="AB113" i="24"/>
  <c r="AA113" i="24"/>
  <c r="AB112" i="24"/>
  <c r="AA112" i="24"/>
  <c r="AB111" i="24"/>
  <c r="AA111" i="24"/>
  <c r="AB110" i="24"/>
  <c r="AA110" i="24"/>
  <c r="AB109" i="24"/>
  <c r="AA109" i="24"/>
  <c r="AB108" i="24"/>
  <c r="AA108" i="24"/>
  <c r="AB107" i="24"/>
  <c r="AA107" i="24"/>
  <c r="AB106" i="24"/>
  <c r="AA106" i="24"/>
  <c r="AB105" i="24"/>
  <c r="AA105" i="24"/>
  <c r="AB88" i="24"/>
  <c r="AA88" i="24"/>
  <c r="AB87" i="24"/>
  <c r="AA87" i="24"/>
  <c r="AB86" i="24"/>
  <c r="AA86" i="24"/>
  <c r="AB85" i="24"/>
  <c r="AA85" i="24"/>
  <c r="AB84" i="24"/>
  <c r="AA84" i="24"/>
  <c r="AB83" i="24"/>
  <c r="AA83" i="24"/>
  <c r="AB82" i="24"/>
  <c r="AA82" i="24"/>
  <c r="AB81" i="24"/>
  <c r="AA81" i="24"/>
  <c r="AB80" i="24"/>
  <c r="AA80" i="24"/>
  <c r="AB79" i="24"/>
  <c r="AA79" i="24"/>
  <c r="AB78" i="24"/>
  <c r="AA78" i="24"/>
  <c r="AB75" i="24"/>
  <c r="AA75" i="24"/>
  <c r="AB74" i="24"/>
  <c r="AA74" i="24"/>
  <c r="AB73" i="24"/>
  <c r="AA73" i="24"/>
  <c r="AB72" i="24"/>
  <c r="AA72" i="24"/>
  <c r="AB71" i="24"/>
  <c r="AA71" i="24"/>
  <c r="AB68" i="24"/>
  <c r="AA68" i="24"/>
  <c r="AB67" i="24"/>
  <c r="AA67" i="24"/>
  <c r="AB66" i="24"/>
  <c r="AA66" i="24"/>
  <c r="AB65" i="24"/>
  <c r="AA65" i="24"/>
  <c r="AB64" i="24"/>
  <c r="AA64" i="24"/>
  <c r="AB63" i="24"/>
  <c r="AA63" i="24"/>
  <c r="AB62" i="24"/>
  <c r="AA62" i="24"/>
  <c r="AB61" i="24"/>
  <c r="AA61" i="24"/>
  <c r="AB60" i="24"/>
  <c r="AA60" i="24"/>
  <c r="AB59" i="24"/>
  <c r="AA59" i="24"/>
  <c r="AB58" i="24"/>
  <c r="AA58" i="24"/>
  <c r="AB57" i="24"/>
  <c r="AA57" i="24"/>
  <c r="AB56" i="24"/>
  <c r="AA56" i="24"/>
  <c r="AB55" i="24"/>
  <c r="AA55" i="24"/>
  <c r="AB54" i="24"/>
  <c r="AA54" i="24"/>
  <c r="AB53" i="24"/>
  <c r="AA53" i="24"/>
  <c r="AB52" i="24"/>
  <c r="AA52" i="24"/>
  <c r="AB51" i="24"/>
  <c r="AA51" i="24"/>
  <c r="AB50" i="24"/>
  <c r="AA50" i="24"/>
  <c r="AB49" i="24"/>
  <c r="AA49" i="24"/>
  <c r="AB48" i="24"/>
  <c r="AA48" i="24"/>
  <c r="AB47" i="24"/>
  <c r="AA47" i="24"/>
  <c r="AB46" i="24"/>
  <c r="AA46" i="24"/>
  <c r="AB45" i="24"/>
  <c r="AA45" i="24"/>
  <c r="AB44" i="24"/>
  <c r="AA44" i="24"/>
  <c r="AB43" i="24"/>
  <c r="AA43" i="24"/>
  <c r="AB42" i="24"/>
  <c r="AA42" i="24"/>
  <c r="AB41" i="24"/>
  <c r="AA41" i="24"/>
  <c r="AB40" i="24"/>
  <c r="AA40" i="24"/>
  <c r="AB39" i="24"/>
  <c r="AA39" i="24"/>
  <c r="AB38" i="24"/>
  <c r="AA38" i="24"/>
  <c r="AB37" i="24"/>
  <c r="AA37" i="24"/>
  <c r="AB36" i="24"/>
  <c r="AA36" i="24"/>
  <c r="AB35" i="24"/>
  <c r="AA35" i="24"/>
  <c r="AB34" i="24"/>
  <c r="AA34" i="24"/>
  <c r="AB33" i="24"/>
  <c r="AA33" i="24"/>
  <c r="AB32" i="24"/>
  <c r="AA32" i="24"/>
  <c r="AA9" i="24"/>
  <c r="AB9" i="24"/>
  <c r="AA10" i="24"/>
  <c r="AB10" i="24"/>
  <c r="AA11" i="24"/>
  <c r="AB11" i="24"/>
  <c r="AA12" i="24"/>
  <c r="AB12" i="24"/>
  <c r="AA13" i="24"/>
  <c r="AB13" i="24"/>
  <c r="AA14" i="24"/>
  <c r="AB14" i="24"/>
  <c r="AA15" i="24"/>
  <c r="AB15" i="24"/>
  <c r="AA16" i="24"/>
  <c r="AB16" i="24"/>
  <c r="AA17" i="24"/>
  <c r="AB17" i="24"/>
  <c r="AA18" i="24"/>
  <c r="AB18" i="24"/>
  <c r="AA19" i="24"/>
  <c r="AB19" i="24"/>
  <c r="AA20" i="24"/>
  <c r="AB20" i="24"/>
  <c r="AA21" i="24"/>
  <c r="AB21" i="24"/>
  <c r="AA22" i="24"/>
  <c r="AB22" i="24"/>
  <c r="AA23" i="24"/>
  <c r="AB23" i="24"/>
  <c r="AA24" i="24"/>
  <c r="AB24" i="24"/>
  <c r="AA25" i="24"/>
  <c r="AB25" i="24"/>
  <c r="AA26" i="24"/>
  <c r="AB26" i="24"/>
  <c r="AA27" i="24"/>
  <c r="AB27" i="24"/>
  <c r="AA28" i="24"/>
  <c r="AB28" i="24"/>
  <c r="AB8" i="24"/>
  <c r="AA8" i="24"/>
  <c r="M68" i="24"/>
  <c r="L68" i="24"/>
  <c r="M67" i="24"/>
  <c r="L67" i="24"/>
  <c r="M66" i="24"/>
  <c r="L66" i="24"/>
  <c r="M65" i="24"/>
  <c r="L65" i="24"/>
  <c r="M64" i="24"/>
  <c r="L64" i="24"/>
  <c r="M63" i="24"/>
  <c r="L63" i="24"/>
  <c r="M62" i="24"/>
  <c r="L62" i="24"/>
  <c r="M61" i="24"/>
  <c r="L61" i="24"/>
  <c r="M59" i="24"/>
  <c r="L59" i="24"/>
  <c r="M58" i="24"/>
  <c r="L58" i="24"/>
  <c r="M55" i="24"/>
  <c r="L55" i="24"/>
  <c r="M54" i="24"/>
  <c r="L54" i="24"/>
  <c r="M52" i="24"/>
  <c r="L52" i="24"/>
  <c r="M51" i="24"/>
  <c r="L51" i="24"/>
  <c r="M50" i="24"/>
  <c r="L50" i="24"/>
  <c r="M49" i="24"/>
  <c r="L49" i="24"/>
  <c r="M48" i="24"/>
  <c r="L48" i="24"/>
  <c r="M47" i="24"/>
  <c r="L47" i="24"/>
  <c r="M46" i="24"/>
  <c r="L46" i="24"/>
  <c r="M44" i="24"/>
  <c r="L44" i="24"/>
  <c r="M43" i="24"/>
  <c r="L43" i="24"/>
  <c r="M42" i="24"/>
  <c r="L42" i="24"/>
  <c r="M41" i="24"/>
  <c r="L41" i="24"/>
  <c r="M40" i="24"/>
  <c r="L40" i="24"/>
  <c r="M38" i="24"/>
  <c r="L38" i="24"/>
  <c r="M37" i="24"/>
  <c r="L37" i="24"/>
  <c r="M36" i="24"/>
  <c r="L36" i="24"/>
  <c r="M35" i="24"/>
  <c r="L35" i="24"/>
  <c r="M34" i="24"/>
  <c r="L34" i="24"/>
  <c r="M33" i="24"/>
  <c r="L33" i="24"/>
  <c r="M31" i="24"/>
  <c r="L31" i="24"/>
  <c r="L28" i="24"/>
  <c r="L27" i="24"/>
  <c r="L26" i="24"/>
  <c r="L25" i="24"/>
  <c r="L24" i="24"/>
  <c r="L23" i="24"/>
  <c r="L22" i="24"/>
  <c r="L21" i="24"/>
  <c r="L20" i="24"/>
  <c r="L19" i="24"/>
  <c r="L18" i="24"/>
  <c r="L17" i="24"/>
  <c r="L16" i="24"/>
  <c r="L15" i="24"/>
  <c r="L9" i="24"/>
  <c r="L10" i="24"/>
  <c r="L11" i="24"/>
  <c r="L12" i="24"/>
  <c r="L8" i="24"/>
  <c r="I133" i="23"/>
  <c r="I132" i="23"/>
  <c r="I131" i="23"/>
  <c r="I130" i="23"/>
  <c r="I129" i="23"/>
  <c r="I128" i="23"/>
  <c r="I127" i="23"/>
  <c r="I126" i="23"/>
  <c r="I125" i="23"/>
  <c r="I124" i="23"/>
  <c r="I123" i="23"/>
  <c r="I122" i="23"/>
  <c r="I121" i="23"/>
  <c r="I120" i="23"/>
  <c r="I119" i="23"/>
  <c r="I118" i="23"/>
  <c r="I117" i="23"/>
  <c r="I116" i="23"/>
  <c r="I115" i="23"/>
  <c r="I114" i="23"/>
  <c r="I113" i="23"/>
  <c r="I111" i="23"/>
  <c r="I110" i="23"/>
  <c r="I109" i="23"/>
  <c r="I108" i="23"/>
  <c r="I107" i="23"/>
  <c r="I106" i="23"/>
  <c r="I105" i="23"/>
  <c r="I104" i="23"/>
  <c r="I103" i="23"/>
  <c r="I102" i="23"/>
  <c r="I101" i="23"/>
  <c r="I100" i="23"/>
  <c r="I98" i="23"/>
  <c r="I97" i="23"/>
  <c r="I96" i="23"/>
  <c r="I95" i="23"/>
  <c r="I94" i="23"/>
  <c r="I93" i="23"/>
  <c r="I92" i="23"/>
  <c r="I91" i="23"/>
  <c r="I90" i="23"/>
  <c r="I89" i="23"/>
  <c r="I56" i="23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6" i="23"/>
  <c r="I35" i="23"/>
  <c r="I34" i="23"/>
  <c r="I33" i="23"/>
  <c r="I32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0" i="23"/>
  <c r="I11" i="23"/>
  <c r="I12" i="23"/>
  <c r="I13" i="23"/>
  <c r="I9" i="23"/>
  <c r="AC176" i="22"/>
  <c r="AB176" i="22"/>
  <c r="AC175" i="22"/>
  <c r="AB175" i="22"/>
  <c r="AC174" i="22"/>
  <c r="AB174" i="22"/>
  <c r="AC173" i="22"/>
  <c r="AB173" i="22"/>
  <c r="AC172" i="22"/>
  <c r="AB172" i="22"/>
  <c r="AC171" i="22"/>
  <c r="AB171" i="22"/>
  <c r="AC170" i="22"/>
  <c r="AB170" i="22"/>
  <c r="AC169" i="22"/>
  <c r="AB169" i="22"/>
  <c r="AC168" i="22"/>
  <c r="AB168" i="22"/>
  <c r="AC167" i="22"/>
  <c r="AB167" i="22"/>
  <c r="AC166" i="22"/>
  <c r="AB166" i="22"/>
  <c r="AC165" i="22"/>
  <c r="AB165" i="22"/>
  <c r="AC164" i="22"/>
  <c r="AB164" i="22"/>
  <c r="AC163" i="22"/>
  <c r="AB163" i="22"/>
  <c r="AC162" i="22"/>
  <c r="AB162" i="22"/>
  <c r="AC161" i="22"/>
  <c r="AB161" i="22"/>
  <c r="AC160" i="22"/>
  <c r="AB160" i="22"/>
  <c r="AC159" i="22"/>
  <c r="AB159" i="22"/>
  <c r="AC158" i="22"/>
  <c r="AB158" i="22"/>
  <c r="AC157" i="22"/>
  <c r="AB157" i="22"/>
  <c r="AC156" i="22"/>
  <c r="AB156" i="22"/>
  <c r="AC155" i="22"/>
  <c r="AB155" i="22"/>
  <c r="AC154" i="22"/>
  <c r="AB154" i="22"/>
  <c r="AC153" i="22"/>
  <c r="AB153" i="22"/>
  <c r="AC152" i="22"/>
  <c r="AB152" i="22"/>
  <c r="AC151" i="22"/>
  <c r="AB151" i="22"/>
  <c r="AC150" i="22"/>
  <c r="AB150" i="22"/>
  <c r="AC149" i="22"/>
  <c r="AB149" i="22"/>
  <c r="AC148" i="22"/>
  <c r="AB148" i="22"/>
  <c r="AC147" i="22"/>
  <c r="AB147" i="22"/>
  <c r="AC146" i="22"/>
  <c r="AB146" i="22"/>
  <c r="AC145" i="22"/>
  <c r="AB145" i="22"/>
  <c r="AC144" i="22"/>
  <c r="AB144" i="22"/>
  <c r="AC143" i="22"/>
  <c r="AB143" i="22"/>
  <c r="AC142" i="22"/>
  <c r="AB142" i="22"/>
  <c r="AC141" i="22"/>
  <c r="AB141" i="22"/>
  <c r="AC140" i="22"/>
  <c r="AB140" i="22"/>
  <c r="AC139" i="22"/>
  <c r="AB139" i="22"/>
  <c r="AC138" i="22"/>
  <c r="AB138" i="22"/>
  <c r="AC137" i="22"/>
  <c r="AB137" i="22"/>
  <c r="AC136" i="22"/>
  <c r="AB136" i="22"/>
  <c r="AC135" i="22"/>
  <c r="AB135" i="22"/>
  <c r="AC134" i="22"/>
  <c r="AB134" i="22"/>
  <c r="AC133" i="22"/>
  <c r="AB133" i="22"/>
  <c r="AC132" i="22"/>
  <c r="AB132" i="22"/>
  <c r="AC131" i="22"/>
  <c r="AB131" i="22"/>
  <c r="AC130" i="22"/>
  <c r="AB130" i="22"/>
  <c r="AC129" i="22"/>
  <c r="AB129" i="22"/>
  <c r="AC128" i="22"/>
  <c r="AB128" i="22"/>
  <c r="AC127" i="22"/>
  <c r="AB127" i="22"/>
  <c r="AC126" i="22"/>
  <c r="AB126" i="22"/>
  <c r="AC104" i="22"/>
  <c r="AB104" i="22"/>
  <c r="AC103" i="22"/>
  <c r="AB103" i="22"/>
  <c r="AC101" i="22"/>
  <c r="AB101" i="22"/>
  <c r="AC100" i="22"/>
  <c r="AB100" i="22"/>
  <c r="AC99" i="22"/>
  <c r="AB99" i="22"/>
  <c r="AC97" i="22"/>
  <c r="AB97" i="22"/>
  <c r="AC96" i="22"/>
  <c r="AB96" i="22"/>
  <c r="AC95" i="22"/>
  <c r="AB95" i="22"/>
  <c r="AC94" i="22"/>
  <c r="AB94" i="22"/>
  <c r="AC93" i="22"/>
  <c r="AB93" i="22"/>
  <c r="AC92" i="22"/>
  <c r="AC91" i="22"/>
  <c r="AB91" i="22"/>
  <c r="AC90" i="22"/>
  <c r="AB90" i="22"/>
  <c r="AC87" i="22"/>
  <c r="AB87" i="22"/>
  <c r="AC86" i="22"/>
  <c r="AB86" i="22"/>
  <c r="AC85" i="22"/>
  <c r="AC84" i="22"/>
  <c r="AB84" i="22"/>
  <c r="AC83" i="22"/>
  <c r="AB83" i="22"/>
  <c r="AC82" i="22"/>
  <c r="AB82" i="22"/>
  <c r="AC81" i="22"/>
  <c r="AB81" i="22"/>
  <c r="AC80" i="22"/>
  <c r="AB80" i="22"/>
  <c r="AC79" i="22"/>
  <c r="AB79" i="22"/>
  <c r="AC78" i="22"/>
  <c r="AB78" i="22"/>
  <c r="AC77" i="22"/>
  <c r="AC76" i="22"/>
  <c r="AB76" i="22"/>
  <c r="AC75" i="22"/>
  <c r="AB75" i="22"/>
  <c r="AC74" i="22"/>
  <c r="AB74" i="22"/>
  <c r="AC73" i="22"/>
  <c r="AB73" i="22"/>
  <c r="AC72" i="22"/>
  <c r="AB72" i="22"/>
  <c r="AC71" i="22"/>
  <c r="AB71" i="22"/>
  <c r="AC70" i="22"/>
  <c r="AB70" i="22"/>
  <c r="AC69" i="22"/>
  <c r="AB69" i="22"/>
  <c r="AC68" i="22"/>
  <c r="AB68" i="22"/>
  <c r="AC67" i="22"/>
  <c r="AB67" i="22"/>
  <c r="AC66" i="22"/>
  <c r="AB66" i="22"/>
  <c r="AC65" i="22"/>
  <c r="AB65" i="22"/>
  <c r="AC64" i="22"/>
  <c r="AB64" i="22"/>
  <c r="AC63" i="22"/>
  <c r="AB63" i="22"/>
  <c r="AC62" i="22"/>
  <c r="AB62" i="22"/>
  <c r="AC61" i="22"/>
  <c r="AB61" i="22"/>
  <c r="AC60" i="22"/>
  <c r="AB60" i="22"/>
  <c r="AC59" i="22"/>
  <c r="AB59" i="22"/>
  <c r="AC58" i="22"/>
  <c r="AC57" i="22"/>
  <c r="AB57" i="22"/>
  <c r="AC56" i="22"/>
  <c r="AB56" i="22"/>
  <c r="AC55" i="22"/>
  <c r="AB55" i="22"/>
  <c r="AC54" i="22"/>
  <c r="AB54" i="22"/>
  <c r="AC53" i="22"/>
  <c r="AB53" i="22"/>
  <c r="AC52" i="22"/>
  <c r="AB52" i="22"/>
  <c r="AC51" i="22"/>
  <c r="AB51" i="22"/>
  <c r="AC50" i="22"/>
  <c r="AB50" i="22"/>
  <c r="AC49" i="22"/>
  <c r="AB49" i="22"/>
  <c r="AC48" i="22"/>
  <c r="AB48" i="22"/>
  <c r="AC47" i="22"/>
  <c r="AB47" i="22"/>
  <c r="AC46" i="22"/>
  <c r="AB46" i="22"/>
  <c r="AC45" i="22"/>
  <c r="AC44" i="22"/>
  <c r="AB44" i="22"/>
  <c r="AC43" i="22"/>
  <c r="AB43" i="22"/>
  <c r="AC42" i="22"/>
  <c r="AB42" i="22"/>
  <c r="AC41" i="22"/>
  <c r="AB41" i="22"/>
  <c r="AC40" i="22"/>
  <c r="AB40" i="22"/>
  <c r="AC39" i="22"/>
  <c r="AB39" i="22"/>
  <c r="AC38" i="22"/>
  <c r="AB38" i="22"/>
  <c r="AC37" i="22"/>
  <c r="AC36" i="22"/>
  <c r="AB36" i="22"/>
  <c r="AC35" i="22"/>
  <c r="AB35" i="22"/>
  <c r="AC34" i="22"/>
  <c r="AB34" i="22"/>
  <c r="AB10" i="22"/>
  <c r="AC10" i="22"/>
  <c r="AB11" i="22"/>
  <c r="AC11" i="22"/>
  <c r="AB12" i="22"/>
  <c r="AC12" i="22"/>
  <c r="AB13" i="22"/>
  <c r="AC13" i="22"/>
  <c r="AB14" i="22"/>
  <c r="AC14" i="22"/>
  <c r="AB15" i="22"/>
  <c r="AC15" i="22"/>
  <c r="AB16" i="22"/>
  <c r="AC16" i="22"/>
  <c r="AB17" i="22"/>
  <c r="AC17" i="22"/>
  <c r="AB18" i="22"/>
  <c r="AC18" i="22"/>
  <c r="AB19" i="22"/>
  <c r="AC19" i="22"/>
  <c r="AB20" i="22"/>
  <c r="AC20" i="22"/>
  <c r="AB21" i="22"/>
  <c r="AC21" i="22"/>
  <c r="AB22" i="22"/>
  <c r="AC22" i="22"/>
  <c r="AB23" i="22"/>
  <c r="AC23" i="22"/>
  <c r="AB24" i="22"/>
  <c r="AC24" i="22"/>
  <c r="AB25" i="22"/>
  <c r="AC25" i="22"/>
  <c r="AB26" i="22"/>
  <c r="AC26" i="22"/>
  <c r="AB27" i="22"/>
  <c r="AC27" i="22"/>
  <c r="AB28" i="22"/>
  <c r="AC28" i="22"/>
  <c r="AB29" i="22"/>
  <c r="AC29" i="22"/>
  <c r="AB30" i="22"/>
  <c r="AC30" i="22"/>
  <c r="AB31" i="22"/>
  <c r="AC31" i="22"/>
  <c r="AB32" i="22"/>
  <c r="AC32" i="22"/>
  <c r="AC9" i="22"/>
  <c r="AB9" i="22"/>
  <c r="AA34" i="30"/>
  <c r="Z34" i="30"/>
  <c r="AA31" i="30"/>
  <c r="Z31" i="30"/>
  <c r="AA30" i="30"/>
  <c r="Z30" i="30"/>
  <c r="AA29" i="30"/>
  <c r="Z29" i="30"/>
  <c r="Z9" i="30"/>
  <c r="AA9" i="30"/>
  <c r="Z10" i="30"/>
  <c r="AA10" i="30"/>
  <c r="Z11" i="30"/>
  <c r="AA11" i="30"/>
  <c r="Z12" i="30"/>
  <c r="AA12" i="30"/>
  <c r="Z13" i="30"/>
  <c r="AA13" i="30"/>
  <c r="Z14" i="30"/>
  <c r="AA14" i="30"/>
  <c r="Z15" i="30"/>
  <c r="AA15" i="30"/>
  <c r="AA16" i="30"/>
  <c r="Z17" i="30"/>
  <c r="AA17" i="30"/>
  <c r="Z18" i="30"/>
  <c r="AA18" i="30"/>
  <c r="Z19" i="30"/>
  <c r="AA19" i="30"/>
  <c r="Z20" i="30"/>
  <c r="AA20" i="30"/>
  <c r="Z21" i="30"/>
  <c r="AA21" i="30"/>
  <c r="Z22" i="30"/>
  <c r="AA22" i="30"/>
  <c r="Z23" i="30"/>
  <c r="AA23" i="30"/>
  <c r="Z24" i="30"/>
  <c r="AA24" i="30"/>
  <c r="Z25" i="30"/>
  <c r="AA25" i="30"/>
  <c r="Z26" i="30"/>
  <c r="AA26" i="30"/>
  <c r="AA8" i="30"/>
  <c r="Z8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8" i="30"/>
  <c r="Y24" i="31"/>
  <c r="X24" i="31"/>
  <c r="Y21" i="31"/>
  <c r="X21" i="31"/>
  <c r="Y20" i="31"/>
  <c r="X20" i="31"/>
  <c r="Y19" i="31"/>
  <c r="X19" i="31"/>
  <c r="X9" i="31"/>
  <c r="Y9" i="31"/>
  <c r="X10" i="31"/>
  <c r="Y10" i="31"/>
  <c r="X11" i="31"/>
  <c r="Y11" i="31"/>
  <c r="X12" i="31"/>
  <c r="Y12" i="31"/>
  <c r="X13" i="31"/>
  <c r="X14" i="31"/>
  <c r="Y14" i="31"/>
  <c r="X15" i="31"/>
  <c r="Y15" i="31"/>
  <c r="X16" i="31"/>
  <c r="Y16" i="31"/>
  <c r="Y8" i="31"/>
  <c r="G9" i="31"/>
  <c r="G10" i="31"/>
  <c r="G11" i="31"/>
  <c r="G12" i="31"/>
  <c r="G13" i="31"/>
  <c r="G14" i="31"/>
  <c r="G15" i="31"/>
  <c r="G16" i="31"/>
  <c r="G8" i="31"/>
  <c r="W30" i="32"/>
  <c r="V30" i="32"/>
  <c r="W29" i="32"/>
  <c r="V29" i="32"/>
  <c r="W28" i="32"/>
  <c r="V28" i="32"/>
  <c r="W27" i="32"/>
  <c r="V27" i="32"/>
  <c r="W24" i="32"/>
  <c r="V24" i="32"/>
  <c r="W23" i="32"/>
  <c r="V23" i="32"/>
  <c r="V9" i="32"/>
  <c r="W9" i="32"/>
  <c r="V10" i="32"/>
  <c r="W10" i="32"/>
  <c r="V11" i="32"/>
  <c r="W11" i="32"/>
  <c r="V12" i="32"/>
  <c r="W12" i="32"/>
  <c r="V13" i="32"/>
  <c r="W13" i="32"/>
  <c r="V14" i="32"/>
  <c r="W14" i="32"/>
  <c r="V15" i="32"/>
  <c r="W15" i="32"/>
  <c r="V16" i="32"/>
  <c r="W16" i="32"/>
  <c r="V17" i="32"/>
  <c r="W17" i="32"/>
  <c r="V18" i="32"/>
  <c r="W18" i="32"/>
  <c r="V19" i="32"/>
  <c r="W19" i="32"/>
  <c r="W8" i="32"/>
  <c r="V8" i="32"/>
  <c r="G19" i="32"/>
  <c r="G18" i="32"/>
  <c r="G17" i="32"/>
  <c r="G16" i="32"/>
  <c r="G15" i="32"/>
  <c r="G14" i="32"/>
  <c r="G13" i="32"/>
  <c r="G12" i="32"/>
  <c r="G11" i="32"/>
  <c r="G10" i="32"/>
  <c r="G8" i="32"/>
  <c r="G9" i="32"/>
  <c r="U9" i="33"/>
  <c r="V9" i="33"/>
  <c r="U10" i="33"/>
  <c r="V10" i="33"/>
  <c r="U11" i="33"/>
  <c r="V11" i="33"/>
  <c r="U12" i="33"/>
  <c r="V12" i="33"/>
  <c r="U13" i="33"/>
  <c r="V13" i="33"/>
  <c r="U14" i="33"/>
  <c r="V14" i="33"/>
  <c r="U15" i="33"/>
  <c r="V15" i="33"/>
  <c r="U16" i="33"/>
  <c r="V16" i="33"/>
  <c r="U17" i="33"/>
  <c r="V17" i="33"/>
  <c r="U18" i="33"/>
  <c r="V18" i="33"/>
  <c r="V8" i="33"/>
  <c r="U8" i="33"/>
  <c r="F9" i="33"/>
  <c r="F10" i="33"/>
  <c r="F11" i="33"/>
  <c r="F12" i="33"/>
  <c r="F13" i="33"/>
  <c r="F14" i="33"/>
  <c r="F15" i="33"/>
  <c r="F16" i="33"/>
  <c r="F17" i="33"/>
  <c r="F18" i="33"/>
  <c r="F8" i="33"/>
  <c r="H100" i="16"/>
  <c r="I100" i="16" s="1"/>
  <c r="G116" i="16"/>
  <c r="J115" i="16"/>
  <c r="I115" i="16"/>
  <c r="J114" i="16"/>
  <c r="I114" i="16"/>
  <c r="J113" i="16"/>
  <c r="I113" i="16"/>
  <c r="J112" i="16"/>
  <c r="I112" i="16"/>
  <c r="J111" i="16"/>
  <c r="I111" i="16"/>
  <c r="J110" i="16"/>
  <c r="I110" i="16"/>
  <c r="J109" i="16"/>
  <c r="I109" i="16"/>
  <c r="J108" i="16"/>
  <c r="I108" i="16"/>
  <c r="J107" i="16"/>
  <c r="I107" i="16"/>
  <c r="J106" i="16"/>
  <c r="I106" i="16"/>
  <c r="J105" i="16"/>
  <c r="I105" i="16"/>
  <c r="J104" i="16"/>
  <c r="I104" i="16"/>
  <c r="J103" i="16"/>
  <c r="I103" i="16"/>
  <c r="J102" i="16"/>
  <c r="I102" i="16"/>
  <c r="J101" i="16"/>
  <c r="I101" i="16"/>
  <c r="J100" i="16"/>
  <c r="J99" i="16"/>
  <c r="I99" i="16"/>
  <c r="J98" i="16"/>
  <c r="I98" i="16"/>
  <c r="J97" i="16"/>
  <c r="I97" i="16"/>
  <c r="J96" i="16"/>
  <c r="I96" i="16"/>
  <c r="J95" i="16"/>
  <c r="I95" i="16"/>
  <c r="J94" i="16"/>
  <c r="I94" i="16"/>
  <c r="Y115" i="16"/>
  <c r="X115" i="16"/>
  <c r="Y114" i="16"/>
  <c r="X114" i="16"/>
  <c r="Y113" i="16"/>
  <c r="X113" i="16"/>
  <c r="Y112" i="16"/>
  <c r="X112" i="16"/>
  <c r="Y111" i="16"/>
  <c r="X111" i="16"/>
  <c r="Y110" i="16"/>
  <c r="X110" i="16"/>
  <c r="Y109" i="16"/>
  <c r="X109" i="16"/>
  <c r="Y108" i="16"/>
  <c r="X108" i="16"/>
  <c r="Y107" i="16"/>
  <c r="X107" i="16"/>
  <c r="Y106" i="16"/>
  <c r="X106" i="16"/>
  <c r="Y105" i="16"/>
  <c r="X105" i="16"/>
  <c r="Y104" i="16"/>
  <c r="X104" i="16"/>
  <c r="Y103" i="16"/>
  <c r="X103" i="16"/>
  <c r="Y102" i="16"/>
  <c r="X102" i="16"/>
  <c r="Y101" i="16"/>
  <c r="X101" i="16"/>
  <c r="Y100" i="16"/>
  <c r="X100" i="16"/>
  <c r="Y99" i="16"/>
  <c r="X99" i="16"/>
  <c r="Y98" i="16"/>
  <c r="X98" i="16"/>
  <c r="Y97" i="16"/>
  <c r="X97" i="16"/>
  <c r="Y96" i="16"/>
  <c r="X96" i="16"/>
  <c r="Y95" i="16"/>
  <c r="X95" i="16"/>
  <c r="Y94" i="16"/>
  <c r="X94" i="16"/>
  <c r="Y74" i="16"/>
  <c r="X74" i="16"/>
  <c r="Y73" i="16"/>
  <c r="X73" i="16"/>
  <c r="Y72" i="16"/>
  <c r="X72" i="16"/>
  <c r="Y71" i="16"/>
  <c r="X71" i="16"/>
  <c r="Y70" i="16"/>
  <c r="X70" i="16"/>
  <c r="Y69" i="16"/>
  <c r="X69" i="16"/>
  <c r="Y68" i="16"/>
  <c r="X68" i="16"/>
  <c r="Y67" i="16"/>
  <c r="X67" i="16"/>
  <c r="Y65" i="16"/>
  <c r="X65" i="16"/>
  <c r="Y64" i="16"/>
  <c r="X64" i="16"/>
  <c r="Y63" i="16"/>
  <c r="X63" i="16"/>
  <c r="Y62" i="16"/>
  <c r="X62" i="16"/>
  <c r="Y61" i="16"/>
  <c r="X61" i="16"/>
  <c r="Y60" i="16"/>
  <c r="X60" i="16"/>
  <c r="Y59" i="16"/>
  <c r="X59" i="16"/>
  <c r="Y55" i="16"/>
  <c r="X55" i="16"/>
  <c r="Y54" i="16"/>
  <c r="X54" i="16"/>
  <c r="Y53" i="16"/>
  <c r="X53" i="16"/>
  <c r="Y52" i="16"/>
  <c r="X52" i="16"/>
  <c r="Y51" i="16"/>
  <c r="X51" i="16"/>
  <c r="Y50" i="16"/>
  <c r="X50" i="16"/>
  <c r="Y49" i="16"/>
  <c r="X49" i="16"/>
  <c r="Y48" i="16"/>
  <c r="X48" i="16"/>
  <c r="Y47" i="16"/>
  <c r="X47" i="16"/>
  <c r="Y46" i="16"/>
  <c r="X46" i="16"/>
  <c r="Y45" i="16"/>
  <c r="X45" i="16"/>
  <c r="Y44" i="16"/>
  <c r="X44" i="16"/>
  <c r="Y43" i="16"/>
  <c r="X43" i="16"/>
  <c r="Y42" i="16"/>
  <c r="X42" i="16"/>
  <c r="Y41" i="16"/>
  <c r="X41" i="16"/>
  <c r="Y40" i="16"/>
  <c r="X40" i="16"/>
  <c r="Y39" i="16"/>
  <c r="X39" i="16"/>
  <c r="Y38" i="16"/>
  <c r="X38" i="16"/>
  <c r="Y37" i="16"/>
  <c r="X37" i="16"/>
  <c r="Y36" i="16"/>
  <c r="X36" i="16"/>
  <c r="Y35" i="16"/>
  <c r="X35" i="16"/>
  <c r="Y34" i="16"/>
  <c r="X34" i="16"/>
  <c r="Y33" i="16"/>
  <c r="X33" i="16"/>
  <c r="Y32" i="16"/>
  <c r="X32" i="16"/>
  <c r="Y29" i="16"/>
  <c r="X29" i="16"/>
  <c r="Y28" i="16"/>
  <c r="X28" i="16"/>
  <c r="Y27" i="16"/>
  <c r="X27" i="16"/>
  <c r="Y26" i="16"/>
  <c r="X26" i="16"/>
  <c r="Y25" i="16"/>
  <c r="X25" i="16"/>
  <c r="Y24" i="16"/>
  <c r="X24" i="16"/>
  <c r="Y23" i="16"/>
  <c r="X23" i="16"/>
  <c r="Y22" i="16"/>
  <c r="X22" i="16"/>
  <c r="Y21" i="16"/>
  <c r="X21" i="16"/>
  <c r="Y20" i="16"/>
  <c r="X20" i="16"/>
  <c r="Y19" i="16"/>
  <c r="X19" i="16"/>
  <c r="Y18" i="16"/>
  <c r="X18" i="16"/>
  <c r="Y17" i="16"/>
  <c r="X17" i="16"/>
  <c r="Y16" i="16"/>
  <c r="X16" i="16"/>
  <c r="Y15" i="16"/>
  <c r="X15" i="16"/>
  <c r="Y14" i="16"/>
  <c r="X14" i="16"/>
  <c r="Y13" i="16"/>
  <c r="X13" i="16"/>
  <c r="Y12" i="16"/>
  <c r="X12" i="16"/>
  <c r="Y11" i="16"/>
  <c r="X11" i="16"/>
  <c r="Y10" i="16"/>
  <c r="X10" i="16"/>
  <c r="Y8" i="16"/>
  <c r="X8" i="16"/>
  <c r="I58" i="16"/>
  <c r="I59" i="16"/>
  <c r="I60" i="16"/>
  <c r="I61" i="16"/>
  <c r="I62" i="16"/>
  <c r="I63" i="16"/>
  <c r="I64" i="16"/>
  <c r="I65" i="16"/>
  <c r="I57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9" i="16"/>
  <c r="I10" i="16"/>
  <c r="I11" i="16"/>
  <c r="I12" i="16"/>
  <c r="I13" i="16"/>
  <c r="I8" i="16"/>
  <c r="Y8" i="17"/>
  <c r="J26" i="17"/>
  <c r="Z63" i="17"/>
  <c r="Y63" i="17"/>
  <c r="Z62" i="17"/>
  <c r="Y62" i="17"/>
  <c r="Z61" i="17"/>
  <c r="Y61" i="17"/>
  <c r="Z60" i="17"/>
  <c r="Y60" i="17"/>
  <c r="Z59" i="17"/>
  <c r="Y59" i="17"/>
  <c r="Z57" i="17"/>
  <c r="Y57" i="17"/>
  <c r="Z56" i="17"/>
  <c r="Y56" i="17"/>
  <c r="Z55" i="17"/>
  <c r="Y55" i="17"/>
  <c r="Z54" i="17"/>
  <c r="Y54" i="17"/>
  <c r="Z53" i="17"/>
  <c r="Y53" i="17"/>
  <c r="Z50" i="17"/>
  <c r="Y50" i="17"/>
  <c r="Z49" i="17"/>
  <c r="Y49" i="17"/>
  <c r="Z48" i="17"/>
  <c r="Y48" i="17"/>
  <c r="Z47" i="17"/>
  <c r="Y47" i="17"/>
  <c r="Z46" i="17"/>
  <c r="Y46" i="17"/>
  <c r="Z45" i="17"/>
  <c r="Y45" i="17"/>
  <c r="Z44" i="17"/>
  <c r="Y44" i="17"/>
  <c r="Z43" i="17"/>
  <c r="Y43" i="17"/>
  <c r="Z42" i="17"/>
  <c r="Y42" i="17"/>
  <c r="Z41" i="17"/>
  <c r="Y41" i="17"/>
  <c r="Z40" i="17"/>
  <c r="Y40" i="17"/>
  <c r="Z39" i="17"/>
  <c r="Y39" i="17"/>
  <c r="Z38" i="17"/>
  <c r="Y38" i="17"/>
  <c r="Z37" i="17"/>
  <c r="Y37" i="17"/>
  <c r="Z36" i="17"/>
  <c r="Y36" i="17"/>
  <c r="Z35" i="17"/>
  <c r="Y35" i="17"/>
  <c r="Z34" i="17"/>
  <c r="Y34" i="17"/>
  <c r="Z33" i="17"/>
  <c r="Y33" i="17"/>
  <c r="Z32" i="17"/>
  <c r="Y32" i="17"/>
  <c r="Y9" i="17"/>
  <c r="Z9" i="17"/>
  <c r="Y10" i="17"/>
  <c r="Z10" i="17"/>
  <c r="Y11" i="17"/>
  <c r="Z11" i="17"/>
  <c r="Y12" i="17"/>
  <c r="Z12" i="17"/>
  <c r="Y13" i="17"/>
  <c r="Z13" i="17"/>
  <c r="Y14" i="17"/>
  <c r="Z14" i="17"/>
  <c r="Y15" i="17"/>
  <c r="Z15" i="17"/>
  <c r="Y16" i="17"/>
  <c r="Z16" i="17"/>
  <c r="Y17" i="17"/>
  <c r="Z17" i="17"/>
  <c r="Y18" i="17"/>
  <c r="Z18" i="17"/>
  <c r="Y19" i="17"/>
  <c r="Z19" i="17"/>
  <c r="Y20" i="17"/>
  <c r="Z20" i="17"/>
  <c r="Y21" i="17"/>
  <c r="Z21" i="17"/>
  <c r="Y22" i="17"/>
  <c r="Z22" i="17"/>
  <c r="Y23" i="17"/>
  <c r="Z23" i="17"/>
  <c r="Y24" i="17"/>
  <c r="Z24" i="17"/>
  <c r="Y25" i="17"/>
  <c r="Z25" i="17"/>
  <c r="Y26" i="17"/>
  <c r="Z26" i="17"/>
  <c r="Y27" i="17"/>
  <c r="Z27" i="17"/>
  <c r="Y28" i="17"/>
  <c r="Z28" i="17"/>
  <c r="Y29" i="17"/>
  <c r="Z29" i="17"/>
  <c r="Z8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29" i="17"/>
  <c r="J28" i="17"/>
  <c r="J27" i="17"/>
  <c r="J25" i="17"/>
  <c r="J24" i="17"/>
  <c r="J23" i="17"/>
  <c r="J22" i="17"/>
  <c r="J21" i="17"/>
  <c r="J20" i="17"/>
  <c r="J19" i="17"/>
  <c r="J18" i="17"/>
  <c r="J17" i="17"/>
  <c r="J16" i="17"/>
  <c r="J15" i="17"/>
  <c r="J9" i="17"/>
  <c r="J10" i="17"/>
  <c r="J11" i="17"/>
  <c r="J12" i="17"/>
  <c r="J13" i="17"/>
  <c r="J8" i="17"/>
  <c r="Y59" i="18"/>
  <c r="X59" i="18"/>
  <c r="Y58" i="18"/>
  <c r="X58" i="18"/>
  <c r="Y57" i="18"/>
  <c r="X57" i="18"/>
  <c r="Y56" i="18"/>
  <c r="X56" i="18"/>
  <c r="Y55" i="18"/>
  <c r="X55" i="18"/>
  <c r="Y52" i="18"/>
  <c r="X52" i="18"/>
  <c r="Y51" i="18"/>
  <c r="X51" i="18"/>
  <c r="Y48" i="18"/>
  <c r="X48" i="18"/>
  <c r="Y47" i="18"/>
  <c r="X47" i="18"/>
  <c r="Y46" i="18"/>
  <c r="X46" i="18"/>
  <c r="Y45" i="18"/>
  <c r="X45" i="18"/>
  <c r="Y44" i="18"/>
  <c r="X44" i="18"/>
  <c r="Y43" i="18"/>
  <c r="X43" i="18"/>
  <c r="Y42" i="18"/>
  <c r="X42" i="18"/>
  <c r="Y41" i="18"/>
  <c r="X41" i="18"/>
  <c r="Y40" i="18"/>
  <c r="X40" i="18"/>
  <c r="Y39" i="18"/>
  <c r="X39" i="18"/>
  <c r="Y38" i="18"/>
  <c r="X38" i="18"/>
  <c r="Y37" i="18"/>
  <c r="X37" i="18"/>
  <c r="Y36" i="18"/>
  <c r="X36" i="18"/>
  <c r="Y35" i="18"/>
  <c r="X35" i="18"/>
  <c r="Y34" i="18"/>
  <c r="X34" i="18"/>
  <c r="Y31" i="18"/>
  <c r="X31" i="18"/>
  <c r="Y30" i="18"/>
  <c r="X30" i="18"/>
  <c r="Y29" i="18"/>
  <c r="X29" i="18"/>
  <c r="Y28" i="18"/>
  <c r="X28" i="18"/>
  <c r="Y27" i="18"/>
  <c r="X27" i="18"/>
  <c r="Y26" i="18"/>
  <c r="X26" i="18"/>
  <c r="Y25" i="18"/>
  <c r="X25" i="18"/>
  <c r="Y24" i="18"/>
  <c r="X24" i="18"/>
  <c r="Y23" i="18"/>
  <c r="X23" i="18"/>
  <c r="Y22" i="18"/>
  <c r="X22" i="18"/>
  <c r="Y21" i="18"/>
  <c r="X21" i="18"/>
  <c r="Y20" i="18"/>
  <c r="X20" i="18"/>
  <c r="Y19" i="18"/>
  <c r="X19" i="18"/>
  <c r="Y18" i="18"/>
  <c r="X18" i="18"/>
  <c r="Y17" i="18"/>
  <c r="X17" i="18"/>
  <c r="Y16" i="18"/>
  <c r="X16" i="18"/>
  <c r="Y15" i="18"/>
  <c r="X15" i="18"/>
  <c r="Y14" i="18"/>
  <c r="X14" i="18"/>
  <c r="Y13" i="18"/>
  <c r="X13" i="18"/>
  <c r="Y12" i="18"/>
  <c r="X12" i="18"/>
  <c r="Y11" i="18"/>
  <c r="X11" i="18"/>
  <c r="Y10" i="18"/>
  <c r="X10" i="18"/>
  <c r="Y9" i="18"/>
  <c r="X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0" i="18"/>
  <c r="I11" i="18"/>
  <c r="I12" i="18"/>
  <c r="I13" i="18"/>
  <c r="I14" i="18"/>
  <c r="I9" i="18"/>
  <c r="AB60" i="19"/>
  <c r="AA60" i="19"/>
  <c r="AB59" i="19"/>
  <c r="AA59" i="19"/>
  <c r="AB58" i="19"/>
  <c r="AA58" i="19"/>
  <c r="AB57" i="19"/>
  <c r="AA57" i="19"/>
  <c r="AB56" i="19"/>
  <c r="AA56" i="19"/>
  <c r="AB54" i="19"/>
  <c r="AA54" i="19"/>
  <c r="AB53" i="19"/>
  <c r="AA53" i="19"/>
  <c r="AB52" i="19"/>
  <c r="AA52" i="19"/>
  <c r="AB48" i="19"/>
  <c r="AA48" i="19"/>
  <c r="AB47" i="19"/>
  <c r="AA47" i="19"/>
  <c r="AB46" i="19"/>
  <c r="AA46" i="19"/>
  <c r="AB45" i="19"/>
  <c r="AA45" i="19"/>
  <c r="AB44" i="19"/>
  <c r="AA44" i="19"/>
  <c r="AB43" i="19"/>
  <c r="AA43" i="19"/>
  <c r="AB42" i="19"/>
  <c r="AA42" i="19"/>
  <c r="AB41" i="19"/>
  <c r="AA41" i="19"/>
  <c r="AB40" i="19"/>
  <c r="AA40" i="19"/>
  <c r="AB39" i="19"/>
  <c r="AA39" i="19"/>
  <c r="AB38" i="19"/>
  <c r="AA38" i="19"/>
  <c r="AB37" i="19"/>
  <c r="AA37" i="19"/>
  <c r="AB36" i="19"/>
  <c r="AA36" i="19"/>
  <c r="AB35" i="19"/>
  <c r="AA35" i="19"/>
  <c r="AB34" i="19"/>
  <c r="AB33" i="19"/>
  <c r="AA33" i="19"/>
  <c r="AB30" i="19"/>
  <c r="AA30" i="19"/>
  <c r="AB29" i="19"/>
  <c r="AA29" i="19"/>
  <c r="AB28" i="19"/>
  <c r="AA28" i="19"/>
  <c r="AB27" i="19"/>
  <c r="AA27" i="19"/>
  <c r="AB26" i="19"/>
  <c r="AA26" i="19"/>
  <c r="AB25" i="19"/>
  <c r="AA25" i="19"/>
  <c r="AB24" i="19"/>
  <c r="AA24" i="19"/>
  <c r="AB23" i="19"/>
  <c r="AA23" i="19"/>
  <c r="AB22" i="19"/>
  <c r="AA22" i="19"/>
  <c r="AB21" i="19"/>
  <c r="AA21" i="19"/>
  <c r="AB20" i="19"/>
  <c r="AA20" i="19"/>
  <c r="AB19" i="19"/>
  <c r="AA19" i="19"/>
  <c r="AB18" i="19"/>
  <c r="AA18" i="19"/>
  <c r="AB17" i="19"/>
  <c r="AA17" i="19"/>
  <c r="AB16" i="19"/>
  <c r="AA16" i="19"/>
  <c r="AB15" i="19"/>
  <c r="AA15" i="19"/>
  <c r="AB14" i="19"/>
  <c r="AA14" i="19"/>
  <c r="AB13" i="19"/>
  <c r="AA13" i="19"/>
  <c r="AB12" i="19"/>
  <c r="AA12" i="19"/>
  <c r="AB11" i="19"/>
  <c r="AA11" i="19"/>
  <c r="AB10" i="19"/>
  <c r="AA10" i="19"/>
  <c r="AB9" i="19"/>
  <c r="AA9" i="19"/>
  <c r="AB8" i="19"/>
  <c r="AA8" i="19"/>
  <c r="L60" i="19"/>
  <c r="L59" i="19"/>
  <c r="L58" i="19"/>
  <c r="L48" i="19"/>
  <c r="L47" i="19"/>
  <c r="L46" i="19"/>
  <c r="L45" i="19"/>
  <c r="L44" i="19"/>
  <c r="L43" i="19"/>
  <c r="L42" i="19"/>
  <c r="L41" i="19"/>
  <c r="L40" i="19"/>
  <c r="L39" i="19"/>
  <c r="L38" i="19"/>
  <c r="L37" i="19"/>
  <c r="L36" i="19"/>
  <c r="L35" i="19"/>
  <c r="L34" i="19"/>
  <c r="L33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5" i="19"/>
  <c r="L13" i="19"/>
  <c r="L12" i="19"/>
  <c r="L11" i="19"/>
  <c r="L8" i="19"/>
  <c r="AC76" i="20"/>
  <c r="AB76" i="20"/>
  <c r="AC75" i="20"/>
  <c r="AB75" i="20"/>
  <c r="AC74" i="20"/>
  <c r="AB74" i="20"/>
  <c r="AC73" i="20"/>
  <c r="AB73" i="20"/>
  <c r="AC72" i="20"/>
  <c r="AB72" i="20"/>
  <c r="AC71" i="20"/>
  <c r="AB71" i="20"/>
  <c r="AC70" i="20"/>
  <c r="AB70" i="20"/>
  <c r="AC69" i="20"/>
  <c r="AB69" i="20"/>
  <c r="AC68" i="20"/>
  <c r="AB68" i="20"/>
  <c r="AC67" i="20"/>
  <c r="AB67" i="20"/>
  <c r="AC66" i="20"/>
  <c r="AB66" i="20"/>
  <c r="AC65" i="20"/>
  <c r="AB65" i="20"/>
  <c r="AC64" i="20"/>
  <c r="AB64" i="20"/>
  <c r="AC63" i="20"/>
  <c r="AB63" i="20"/>
  <c r="AC62" i="20"/>
  <c r="AB62" i="20"/>
  <c r="AC61" i="20"/>
  <c r="AB61" i="20"/>
  <c r="AC57" i="20"/>
  <c r="AB57" i="20"/>
  <c r="AC56" i="20"/>
  <c r="AB56" i="20"/>
  <c r="AC55" i="20"/>
  <c r="AB55" i="20"/>
  <c r="AC54" i="20"/>
  <c r="AB54" i="20"/>
  <c r="AC53" i="20"/>
  <c r="AB53" i="20"/>
  <c r="AC52" i="20"/>
  <c r="AB52" i="20"/>
  <c r="AC51" i="20"/>
  <c r="AB51" i="20"/>
  <c r="AC50" i="20"/>
  <c r="AB50" i="20"/>
  <c r="AC49" i="20"/>
  <c r="AB49" i="20"/>
  <c r="AC48" i="20"/>
  <c r="AB48" i="20"/>
  <c r="AC47" i="20"/>
  <c r="AB47" i="20"/>
  <c r="AC46" i="20"/>
  <c r="AB46" i="20"/>
  <c r="AC45" i="20"/>
  <c r="AB45" i="20"/>
  <c r="AC44" i="20"/>
  <c r="AB44" i="20"/>
  <c r="AC43" i="20"/>
  <c r="AB43" i="20"/>
  <c r="AC42" i="20"/>
  <c r="AB42" i="20"/>
  <c r="AC41" i="20"/>
  <c r="AB41" i="20"/>
  <c r="AC40" i="20"/>
  <c r="AB40" i="20"/>
  <c r="AC39" i="20"/>
  <c r="AB39" i="20"/>
  <c r="AC38" i="20"/>
  <c r="AC37" i="20"/>
  <c r="AB37" i="20"/>
  <c r="AC36" i="20"/>
  <c r="AB36" i="20"/>
  <c r="AC35" i="20"/>
  <c r="AB35" i="20"/>
  <c r="AC34" i="20"/>
  <c r="AB34" i="20"/>
  <c r="AC33" i="20"/>
  <c r="AB33" i="20"/>
  <c r="AC30" i="20"/>
  <c r="AB30" i="20"/>
  <c r="AC29" i="20"/>
  <c r="AB29" i="20"/>
  <c r="AC28" i="20"/>
  <c r="AB28" i="20"/>
  <c r="AC27" i="20"/>
  <c r="AB27" i="20"/>
  <c r="AC26" i="20"/>
  <c r="AB26" i="20"/>
  <c r="AC25" i="20"/>
  <c r="AB25" i="20"/>
  <c r="AC24" i="20"/>
  <c r="AB24" i="20"/>
  <c r="AC23" i="20"/>
  <c r="AB23" i="20"/>
  <c r="AC22" i="20"/>
  <c r="AB22" i="20"/>
  <c r="AC21" i="20"/>
  <c r="AB21" i="20"/>
  <c r="AC20" i="20"/>
  <c r="AB20" i="20"/>
  <c r="AC19" i="20"/>
  <c r="AB19" i="20"/>
  <c r="AC18" i="20"/>
  <c r="AB18" i="20"/>
  <c r="AC17" i="20"/>
  <c r="AB17" i="20"/>
  <c r="AC16" i="20"/>
  <c r="AB16" i="20"/>
  <c r="AC15" i="20"/>
  <c r="AB15" i="20"/>
  <c r="AC14" i="20"/>
  <c r="AB14" i="20"/>
  <c r="AC13" i="20"/>
  <c r="AB13" i="20"/>
  <c r="AC12" i="20"/>
  <c r="AB12" i="20"/>
  <c r="AC11" i="20"/>
  <c r="AB11" i="20"/>
  <c r="AC10" i="20"/>
  <c r="AB10" i="20"/>
  <c r="AC9" i="20"/>
  <c r="AB9" i="20"/>
  <c r="AC8" i="20"/>
  <c r="AB8" i="20"/>
  <c r="M57" i="20"/>
  <c r="M55" i="20"/>
  <c r="M54" i="20"/>
  <c r="M53" i="20"/>
  <c r="M52" i="20"/>
  <c r="M51" i="20"/>
  <c r="M50" i="20"/>
  <c r="M49" i="20"/>
  <c r="M46" i="20"/>
  <c r="M45" i="20"/>
  <c r="M44" i="20"/>
  <c r="M42" i="20"/>
  <c r="M41" i="20"/>
  <c r="M40" i="20"/>
  <c r="M39" i="20"/>
  <c r="M35" i="20"/>
  <c r="M30" i="20"/>
  <c r="M29" i="20"/>
  <c r="M28" i="20"/>
  <c r="M27" i="20"/>
  <c r="M26" i="20"/>
  <c r="M25" i="20"/>
  <c r="M24" i="20"/>
  <c r="M23" i="20"/>
  <c r="M22" i="20"/>
  <c r="M21" i="20"/>
  <c r="M20" i="20"/>
  <c r="M19" i="20"/>
  <c r="M18" i="20"/>
  <c r="M17" i="20"/>
  <c r="M16" i="20"/>
  <c r="M15" i="20"/>
  <c r="M13" i="20"/>
  <c r="M12" i="20"/>
  <c r="M11" i="20"/>
  <c r="M10" i="20"/>
  <c r="M14" i="20"/>
  <c r="M8" i="20"/>
  <c r="AA77" i="21"/>
  <c r="Z77" i="21"/>
  <c r="AA76" i="21"/>
  <c r="Z76" i="21"/>
  <c r="AA75" i="21"/>
  <c r="Z75" i="21"/>
  <c r="AA74" i="21"/>
  <c r="Z74" i="21"/>
  <c r="AA73" i="21"/>
  <c r="Z73" i="21"/>
  <c r="AA72" i="21"/>
  <c r="Z72" i="21"/>
  <c r="AA71" i="21"/>
  <c r="Z71" i="21"/>
  <c r="AA70" i="21"/>
  <c r="Z70" i="21"/>
  <c r="AA69" i="21"/>
  <c r="Z69" i="21"/>
  <c r="AA68" i="21"/>
  <c r="Z68" i="21"/>
  <c r="AA67" i="21"/>
  <c r="Z67" i="21"/>
  <c r="AA66" i="21"/>
  <c r="Z66" i="21"/>
  <c r="AA65" i="21"/>
  <c r="Z65" i="21"/>
  <c r="AA64" i="21"/>
  <c r="Z64" i="21"/>
  <c r="AA63" i="21"/>
  <c r="Z63" i="21"/>
  <c r="AA62" i="21"/>
  <c r="Z62" i="21"/>
  <c r="AA61" i="21"/>
  <c r="Z61" i="21"/>
  <c r="AA60" i="21"/>
  <c r="Z60" i="21"/>
  <c r="AA59" i="21"/>
  <c r="Z59" i="21"/>
  <c r="AA58" i="21"/>
  <c r="Z58" i="21"/>
  <c r="AA56" i="21"/>
  <c r="Z56" i="21"/>
  <c r="AA55" i="21"/>
  <c r="Z55" i="21"/>
  <c r="AA54" i="21"/>
  <c r="Z54" i="21"/>
  <c r="AA53" i="21"/>
  <c r="Z53" i="21"/>
  <c r="AA52" i="21"/>
  <c r="Z52" i="21"/>
  <c r="AA51" i="21"/>
  <c r="Z51" i="21"/>
  <c r="AA50" i="21"/>
  <c r="Z50" i="21"/>
  <c r="AA49" i="21"/>
  <c r="Z49" i="21"/>
  <c r="AA48" i="21"/>
  <c r="Z48" i="21"/>
  <c r="AA47" i="21"/>
  <c r="Z47" i="21"/>
  <c r="AA46" i="21"/>
  <c r="Z46" i="21"/>
  <c r="AA45" i="21"/>
  <c r="Z45" i="21"/>
  <c r="AA44" i="21"/>
  <c r="Z44" i="21"/>
  <c r="AA43" i="21"/>
  <c r="Z43" i="21"/>
  <c r="AA42" i="21"/>
  <c r="Z42" i="21"/>
  <c r="AA41" i="21"/>
  <c r="AA40" i="21"/>
  <c r="Z40" i="21"/>
  <c r="AA39" i="21"/>
  <c r="Z39" i="21"/>
  <c r="AA38" i="21"/>
  <c r="Z38" i="21"/>
  <c r="AA37" i="21"/>
  <c r="Z37" i="21"/>
  <c r="AA36" i="21"/>
  <c r="Z36" i="21"/>
  <c r="AA35" i="21"/>
  <c r="Z35" i="21"/>
  <c r="AA31" i="21"/>
  <c r="Z31" i="21"/>
  <c r="AA30" i="21"/>
  <c r="Z30" i="21"/>
  <c r="AA29" i="21"/>
  <c r="Z29" i="21"/>
  <c r="AA28" i="21"/>
  <c r="Z28" i="21"/>
  <c r="AA27" i="21"/>
  <c r="Z27" i="21"/>
  <c r="AA26" i="21"/>
  <c r="Z26" i="21"/>
  <c r="AA25" i="21"/>
  <c r="Z25" i="21"/>
  <c r="AA24" i="21"/>
  <c r="Z24" i="21"/>
  <c r="AA23" i="21"/>
  <c r="Z23" i="21"/>
  <c r="AA22" i="21"/>
  <c r="Z22" i="21"/>
  <c r="AA21" i="21"/>
  <c r="Z21" i="21"/>
  <c r="AA20" i="21"/>
  <c r="Z20" i="21"/>
  <c r="AA19" i="21"/>
  <c r="Z19" i="21"/>
  <c r="AA18" i="21"/>
  <c r="Z18" i="21"/>
  <c r="AA17" i="21"/>
  <c r="Z17" i="21"/>
  <c r="AA16" i="21"/>
  <c r="Z16" i="21"/>
  <c r="AA15" i="21"/>
  <c r="Z15" i="21"/>
  <c r="AA14" i="21"/>
  <c r="Z14" i="21"/>
  <c r="AA13" i="21"/>
  <c r="Z13" i="21"/>
  <c r="AA12" i="21"/>
  <c r="Z12" i="21"/>
  <c r="AA11" i="21"/>
  <c r="Z11" i="21"/>
  <c r="AA10" i="21"/>
  <c r="Z10" i="21"/>
  <c r="AA9" i="21"/>
  <c r="Z9" i="21"/>
  <c r="AA8" i="21"/>
  <c r="Z8" i="21"/>
  <c r="K56" i="21"/>
  <c r="K55" i="21"/>
  <c r="K54" i="21"/>
  <c r="K53" i="21"/>
  <c r="K52" i="21"/>
  <c r="K51" i="21"/>
  <c r="K50" i="21"/>
  <c r="K49" i="21"/>
  <c r="K48" i="21"/>
  <c r="K47" i="21"/>
  <c r="K46" i="21"/>
  <c r="K45" i="21"/>
  <c r="K44" i="21"/>
  <c r="K43" i="21"/>
  <c r="K42" i="21"/>
  <c r="K41" i="21"/>
  <c r="K40" i="21"/>
  <c r="K39" i="21"/>
  <c r="K38" i="21"/>
  <c r="K37" i="21"/>
  <c r="K36" i="21"/>
  <c r="K35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9" i="21"/>
  <c r="K10" i="21"/>
  <c r="K11" i="21"/>
  <c r="K12" i="21"/>
  <c r="K13" i="21"/>
  <c r="K14" i="21"/>
  <c r="K8" i="21"/>
  <c r="V14" i="9" l="1"/>
  <c r="U25" i="45" l="1"/>
  <c r="E137" i="24" l="1"/>
  <c r="E138" i="24" s="1"/>
  <c r="G11" i="37"/>
  <c r="G12" i="37"/>
  <c r="G14" i="37"/>
  <c r="G15" i="37"/>
  <c r="G16" i="37"/>
  <c r="G18" i="37"/>
  <c r="G19" i="37"/>
  <c r="G20" i="37"/>
  <c r="G21" i="37"/>
  <c r="G22" i="37"/>
  <c r="G24" i="37"/>
  <c r="G25" i="37"/>
  <c r="G26" i="37"/>
  <c r="G27" i="37"/>
  <c r="G28" i="37"/>
  <c r="G30" i="37"/>
  <c r="G32" i="37"/>
  <c r="G33" i="37"/>
  <c r="G34" i="37"/>
  <c r="G9" i="37"/>
  <c r="F31" i="37"/>
  <c r="G31" i="37" s="1"/>
  <c r="F11" i="37"/>
  <c r="F35" i="37" l="1"/>
  <c r="F36" i="37" s="1"/>
  <c r="S34" i="29"/>
  <c r="Q10" i="31"/>
  <c r="T11" i="5"/>
  <c r="W37" i="24" l="1"/>
  <c r="Z30" i="39"/>
  <c r="E44" i="17"/>
  <c r="E34" i="17" l="1"/>
  <c r="E65" i="17"/>
  <c r="E66" i="17" s="1"/>
  <c r="E64" i="17"/>
  <c r="E58" i="17"/>
  <c r="E51" i="17"/>
  <c r="E30" i="17"/>
  <c r="E33" i="17"/>
  <c r="L55" i="22" l="1"/>
  <c r="AD55" i="22"/>
  <c r="AD56" i="22"/>
  <c r="N55" i="22" l="1"/>
  <c r="M55" i="22"/>
  <c r="AF55" i="22"/>
  <c r="X51" i="15"/>
  <c r="W51" i="15"/>
  <c r="X50" i="15"/>
  <c r="W50" i="15"/>
  <c r="X49" i="15"/>
  <c r="W49" i="15"/>
  <c r="X48" i="15"/>
  <c r="W48" i="15"/>
  <c r="X47" i="15"/>
  <c r="W47" i="15"/>
  <c r="X46" i="15"/>
  <c r="W46" i="15"/>
  <c r="X45" i="15"/>
  <c r="W45" i="15"/>
  <c r="X42" i="15"/>
  <c r="W42" i="15"/>
  <c r="X41" i="15"/>
  <c r="W41" i="15"/>
  <c r="X40" i="15"/>
  <c r="W40" i="15"/>
  <c r="X39" i="15"/>
  <c r="W39" i="15"/>
  <c r="X38" i="15"/>
  <c r="W38" i="15"/>
  <c r="X37" i="15"/>
  <c r="W37" i="15"/>
  <c r="X36" i="15"/>
  <c r="W36" i="15"/>
  <c r="X35" i="15"/>
  <c r="W35" i="15"/>
  <c r="X34" i="15"/>
  <c r="W34" i="15"/>
  <c r="X33" i="15"/>
  <c r="W33" i="15"/>
  <c r="X32" i="15"/>
  <c r="W32" i="15"/>
  <c r="X31" i="15"/>
  <c r="W31" i="15"/>
  <c r="X30" i="15"/>
  <c r="W30" i="15"/>
  <c r="X29" i="15"/>
  <c r="W29" i="15"/>
  <c r="X28" i="15"/>
  <c r="W28" i="15"/>
  <c r="X27" i="15"/>
  <c r="W27" i="15"/>
  <c r="X24" i="15"/>
  <c r="W24" i="15"/>
  <c r="W10" i="15"/>
  <c r="X10" i="15"/>
  <c r="W11" i="15"/>
  <c r="X11" i="15"/>
  <c r="W12" i="15"/>
  <c r="X12" i="15"/>
  <c r="W13" i="15"/>
  <c r="X13" i="15"/>
  <c r="W14" i="15"/>
  <c r="X14" i="15"/>
  <c r="W15" i="15"/>
  <c r="X15" i="15"/>
  <c r="W16" i="15"/>
  <c r="X16" i="15"/>
  <c r="W17" i="15"/>
  <c r="X17" i="15"/>
  <c r="W18" i="15"/>
  <c r="X18" i="15"/>
  <c r="W19" i="15"/>
  <c r="X19" i="15"/>
  <c r="W20" i="15"/>
  <c r="X20" i="15"/>
  <c r="W21" i="15"/>
  <c r="X21" i="15"/>
  <c r="W22" i="15"/>
  <c r="X22" i="15"/>
  <c r="W23" i="15"/>
  <c r="X23" i="15"/>
  <c r="X9" i="15"/>
  <c r="W9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W19" i="44"/>
  <c r="V19" i="44"/>
  <c r="W18" i="44"/>
  <c r="V18" i="44"/>
  <c r="E14" i="44"/>
  <c r="E13" i="44"/>
  <c r="E12" i="44"/>
  <c r="E11" i="44"/>
  <c r="E10" i="44"/>
  <c r="E9" i="44"/>
  <c r="E8" i="44"/>
  <c r="X59" i="13"/>
  <c r="W59" i="13"/>
  <c r="X58" i="13"/>
  <c r="W58" i="13"/>
  <c r="X57" i="13"/>
  <c r="W57" i="13"/>
  <c r="X56" i="13"/>
  <c r="W56" i="13"/>
  <c r="X55" i="13"/>
  <c r="W55" i="13"/>
  <c r="X52" i="13"/>
  <c r="W52" i="13"/>
  <c r="X51" i="13"/>
  <c r="W51" i="13"/>
  <c r="X50" i="13"/>
  <c r="W50" i="13"/>
  <c r="X49" i="13"/>
  <c r="W49" i="13"/>
  <c r="X48" i="13"/>
  <c r="W48" i="13"/>
  <c r="X47" i="13"/>
  <c r="W47" i="13"/>
  <c r="X46" i="13"/>
  <c r="W46" i="13"/>
  <c r="X45" i="13"/>
  <c r="W45" i="13"/>
  <c r="X44" i="13"/>
  <c r="W44" i="13"/>
  <c r="W9" i="13"/>
  <c r="X9" i="13"/>
  <c r="W10" i="13"/>
  <c r="X10" i="13"/>
  <c r="W11" i="13"/>
  <c r="X11" i="13"/>
  <c r="W12" i="13"/>
  <c r="X12" i="13"/>
  <c r="W13" i="13"/>
  <c r="X13" i="13"/>
  <c r="W14" i="13"/>
  <c r="X14" i="13"/>
  <c r="W15" i="13"/>
  <c r="X15" i="13"/>
  <c r="W16" i="13"/>
  <c r="X16" i="13"/>
  <c r="W17" i="13"/>
  <c r="X17" i="13"/>
  <c r="W18" i="13"/>
  <c r="X18" i="13"/>
  <c r="W19" i="13"/>
  <c r="X19" i="13"/>
  <c r="W20" i="13"/>
  <c r="X20" i="13"/>
  <c r="W21" i="13"/>
  <c r="X21" i="13"/>
  <c r="W22" i="13"/>
  <c r="X22" i="13"/>
  <c r="W23" i="13"/>
  <c r="X23" i="13"/>
  <c r="W24" i="13"/>
  <c r="X24" i="13"/>
  <c r="W25" i="13"/>
  <c r="X25" i="13"/>
  <c r="W26" i="13"/>
  <c r="X26" i="13"/>
  <c r="W27" i="13"/>
  <c r="X27" i="13"/>
  <c r="W28" i="13"/>
  <c r="X28" i="13"/>
  <c r="W29" i="13"/>
  <c r="X29" i="13"/>
  <c r="W30" i="13"/>
  <c r="X30" i="13"/>
  <c r="W31" i="13"/>
  <c r="X31" i="13"/>
  <c r="W32" i="13"/>
  <c r="X32" i="13"/>
  <c r="W33" i="13"/>
  <c r="X33" i="13"/>
  <c r="W34" i="13"/>
  <c r="X34" i="13"/>
  <c r="W35" i="13"/>
  <c r="X35" i="13"/>
  <c r="W36" i="13"/>
  <c r="X36" i="13"/>
  <c r="W37" i="13"/>
  <c r="X37" i="13"/>
  <c r="W38" i="13"/>
  <c r="X38" i="13"/>
  <c r="W39" i="13"/>
  <c r="X39" i="13"/>
  <c r="W40" i="13"/>
  <c r="X40" i="13"/>
  <c r="W41" i="13"/>
  <c r="X41" i="13"/>
  <c r="X8" i="13"/>
  <c r="W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8" i="13"/>
  <c r="U12" i="42"/>
  <c r="V12" i="42"/>
  <c r="U13" i="42"/>
  <c r="V13" i="42"/>
  <c r="U14" i="42"/>
  <c r="V14" i="42"/>
  <c r="U15" i="42"/>
  <c r="V15" i="42"/>
  <c r="U16" i="42"/>
  <c r="V16" i="42"/>
  <c r="U17" i="42"/>
  <c r="V17" i="42"/>
  <c r="U18" i="42"/>
  <c r="V18" i="42"/>
  <c r="U19" i="42"/>
  <c r="V19" i="42"/>
  <c r="U20" i="42"/>
  <c r="V20" i="42"/>
  <c r="U21" i="42"/>
  <c r="V21" i="42"/>
  <c r="U22" i="42"/>
  <c r="V22" i="42"/>
  <c r="U23" i="42"/>
  <c r="V23" i="42"/>
  <c r="U24" i="42"/>
  <c r="V24" i="42"/>
  <c r="U25" i="42"/>
  <c r="V25" i="42"/>
  <c r="U26" i="42"/>
  <c r="V26" i="42"/>
  <c r="U27" i="42"/>
  <c r="V27" i="42"/>
  <c r="U28" i="42"/>
  <c r="V28" i="42"/>
  <c r="U29" i="42"/>
  <c r="V29" i="42"/>
  <c r="U30" i="42"/>
  <c r="V30" i="42"/>
  <c r="U31" i="42"/>
  <c r="V31" i="42"/>
  <c r="U32" i="42"/>
  <c r="V32" i="42"/>
  <c r="U33" i="42"/>
  <c r="V33" i="42"/>
  <c r="U34" i="42"/>
  <c r="V34" i="42"/>
  <c r="U35" i="42"/>
  <c r="V35" i="42"/>
  <c r="U36" i="42"/>
  <c r="V36" i="42"/>
  <c r="U37" i="42"/>
  <c r="V37" i="42"/>
  <c r="U38" i="42"/>
  <c r="V38" i="42"/>
  <c r="U39" i="42"/>
  <c r="V39" i="42"/>
  <c r="U40" i="42"/>
  <c r="V40" i="42"/>
  <c r="U41" i="42"/>
  <c r="V41" i="42"/>
  <c r="U42" i="42"/>
  <c r="V42" i="42"/>
  <c r="U43" i="42"/>
  <c r="V43" i="42"/>
  <c r="U44" i="42"/>
  <c r="V44" i="42"/>
  <c r="U45" i="42"/>
  <c r="V45" i="42"/>
  <c r="U46" i="42"/>
  <c r="V46" i="42"/>
  <c r="U47" i="42"/>
  <c r="V47" i="42"/>
  <c r="U48" i="42"/>
  <c r="V48" i="42"/>
  <c r="U49" i="42"/>
  <c r="V49" i="42"/>
  <c r="U50" i="42"/>
  <c r="V50" i="42"/>
  <c r="U51" i="42"/>
  <c r="V51" i="42"/>
  <c r="U52" i="42"/>
  <c r="V52" i="42"/>
  <c r="U53" i="42"/>
  <c r="V53" i="42"/>
  <c r="U54" i="42"/>
  <c r="V54" i="42"/>
  <c r="U55" i="42"/>
  <c r="V55" i="42"/>
  <c r="U56" i="42"/>
  <c r="V56" i="42"/>
  <c r="U57" i="42"/>
  <c r="V57" i="42"/>
  <c r="U58" i="42"/>
  <c r="V58" i="42"/>
  <c r="U59" i="42"/>
  <c r="V59" i="42"/>
  <c r="U60" i="42"/>
  <c r="V60" i="42"/>
  <c r="U61" i="42"/>
  <c r="V61" i="42"/>
  <c r="U62" i="42"/>
  <c r="V62" i="42"/>
  <c r="U63" i="42"/>
  <c r="V63" i="42"/>
  <c r="U64" i="42"/>
  <c r="V64" i="42"/>
  <c r="U65" i="42"/>
  <c r="V65" i="42"/>
  <c r="U66" i="42"/>
  <c r="V66" i="42"/>
  <c r="U67" i="42"/>
  <c r="V67" i="42"/>
  <c r="U68" i="42"/>
  <c r="V68" i="42"/>
  <c r="U69" i="42"/>
  <c r="V69" i="42"/>
  <c r="U70" i="42"/>
  <c r="V70" i="42"/>
  <c r="U71" i="42"/>
  <c r="V71" i="42"/>
  <c r="U72" i="42"/>
  <c r="V72" i="42"/>
  <c r="U73" i="42"/>
  <c r="V73" i="42"/>
  <c r="U74" i="42"/>
  <c r="V74" i="42"/>
  <c r="U75" i="42"/>
  <c r="V75" i="42"/>
  <c r="U76" i="42"/>
  <c r="V76" i="42"/>
  <c r="U77" i="42"/>
  <c r="V77" i="42"/>
  <c r="U78" i="42"/>
  <c r="V78" i="42"/>
  <c r="U79" i="42"/>
  <c r="V79" i="42"/>
  <c r="U80" i="42"/>
  <c r="V80" i="42"/>
  <c r="U81" i="42"/>
  <c r="V81" i="42"/>
  <c r="U82" i="42"/>
  <c r="V82" i="42"/>
  <c r="U83" i="42"/>
  <c r="V83" i="42"/>
  <c r="U84" i="42"/>
  <c r="V84" i="42"/>
  <c r="U85" i="42"/>
  <c r="V85" i="42"/>
  <c r="U86" i="42"/>
  <c r="V86" i="42"/>
  <c r="U87" i="42"/>
  <c r="V87" i="42"/>
  <c r="U88" i="42"/>
  <c r="V88" i="42"/>
  <c r="U89" i="42"/>
  <c r="V89" i="42"/>
  <c r="U90" i="42"/>
  <c r="V90" i="42"/>
  <c r="U91" i="42"/>
  <c r="V91" i="42"/>
  <c r="U92" i="42"/>
  <c r="V92" i="42"/>
  <c r="U93" i="42"/>
  <c r="V93" i="42"/>
  <c r="U94" i="42"/>
  <c r="V94" i="42"/>
  <c r="U95" i="42"/>
  <c r="V95" i="42"/>
  <c r="U96" i="42"/>
  <c r="V96" i="42"/>
  <c r="U97" i="42"/>
  <c r="V97" i="42"/>
  <c r="U98" i="42"/>
  <c r="V98" i="42"/>
  <c r="U99" i="42"/>
  <c r="V99" i="42"/>
  <c r="U100" i="42"/>
  <c r="V100" i="42"/>
  <c r="U101" i="42"/>
  <c r="V101" i="42"/>
  <c r="U102" i="42"/>
  <c r="V102" i="42"/>
  <c r="U103" i="42"/>
  <c r="V103" i="42"/>
  <c r="U104" i="42"/>
  <c r="V104" i="42"/>
  <c r="U105" i="42"/>
  <c r="V105" i="42"/>
  <c r="U106" i="42"/>
  <c r="V106" i="42"/>
  <c r="U107" i="42"/>
  <c r="V107" i="42"/>
  <c r="U108" i="42"/>
  <c r="V108" i="42"/>
  <c r="U109" i="42"/>
  <c r="V109" i="42"/>
  <c r="U110" i="42"/>
  <c r="V110" i="42"/>
  <c r="U111" i="42"/>
  <c r="V111" i="42"/>
  <c r="V11" i="42"/>
  <c r="U11" i="42"/>
  <c r="W23" i="12"/>
  <c r="V23" i="12"/>
  <c r="W22" i="12"/>
  <c r="V22" i="12"/>
  <c r="W21" i="12"/>
  <c r="V21" i="12"/>
  <c r="V10" i="12"/>
  <c r="W10" i="12"/>
  <c r="V11" i="12"/>
  <c r="W11" i="12"/>
  <c r="V12" i="12"/>
  <c r="W12" i="12"/>
  <c r="V13" i="12"/>
  <c r="W13" i="12"/>
  <c r="W14" i="12"/>
  <c r="V15" i="12"/>
  <c r="W15" i="12"/>
  <c r="V16" i="12"/>
  <c r="W16" i="12"/>
  <c r="V17" i="12"/>
  <c r="W17" i="12"/>
  <c r="W9" i="12"/>
  <c r="V9" i="12"/>
  <c r="G17" i="12"/>
  <c r="G16" i="12"/>
  <c r="G15" i="12"/>
  <c r="G14" i="12"/>
  <c r="G13" i="12"/>
  <c r="G12" i="12"/>
  <c r="G11" i="12"/>
  <c r="G10" i="12"/>
  <c r="G9" i="12"/>
  <c r="Z75" i="41"/>
  <c r="Y75" i="41"/>
  <c r="Z74" i="41"/>
  <c r="Y74" i="41"/>
  <c r="Z73" i="41"/>
  <c r="Y73" i="41"/>
  <c r="Z72" i="41"/>
  <c r="Y72" i="41"/>
  <c r="Z71" i="41"/>
  <c r="Y71" i="41"/>
  <c r="Z70" i="41"/>
  <c r="Y70" i="41"/>
  <c r="Y12" i="41"/>
  <c r="Z12" i="41"/>
  <c r="Y13" i="41"/>
  <c r="Z13" i="41"/>
  <c r="Y14" i="41"/>
  <c r="Z14" i="41"/>
  <c r="Y15" i="41"/>
  <c r="Z15" i="41"/>
  <c r="Y16" i="41"/>
  <c r="Z16" i="41"/>
  <c r="Y17" i="41"/>
  <c r="Z17" i="41"/>
  <c r="Y18" i="41"/>
  <c r="Z18" i="41"/>
  <c r="Y19" i="41"/>
  <c r="Z19" i="41"/>
  <c r="Y20" i="41"/>
  <c r="Z20" i="41"/>
  <c r="Y21" i="41"/>
  <c r="Z21" i="41"/>
  <c r="Y22" i="41"/>
  <c r="Z22" i="41"/>
  <c r="Y23" i="41"/>
  <c r="Z23" i="41"/>
  <c r="Y24" i="41"/>
  <c r="Z24" i="41"/>
  <c r="Y25" i="41"/>
  <c r="Z25" i="41"/>
  <c r="Y26" i="41"/>
  <c r="Z26" i="41"/>
  <c r="Y27" i="41"/>
  <c r="Z27" i="41"/>
  <c r="Y28" i="41"/>
  <c r="Z28" i="41"/>
  <c r="Y29" i="41"/>
  <c r="Z29" i="41"/>
  <c r="Y30" i="41"/>
  <c r="Z30" i="41"/>
  <c r="Y31" i="41"/>
  <c r="Z31" i="41"/>
  <c r="Y32" i="41"/>
  <c r="Z32" i="41"/>
  <c r="Y33" i="41"/>
  <c r="Z33" i="41"/>
  <c r="Y34" i="41"/>
  <c r="Z34" i="41"/>
  <c r="Y35" i="41"/>
  <c r="Z35" i="41"/>
  <c r="Y36" i="41"/>
  <c r="Z36" i="41"/>
  <c r="Y37" i="41"/>
  <c r="Z37" i="41"/>
  <c r="Y38" i="41"/>
  <c r="Z38" i="41"/>
  <c r="Y39" i="41"/>
  <c r="Z39" i="41"/>
  <c r="Y40" i="41"/>
  <c r="Z40" i="41"/>
  <c r="Y41" i="41"/>
  <c r="Z41" i="41"/>
  <c r="Y42" i="41"/>
  <c r="Z42" i="41"/>
  <c r="Y43" i="41"/>
  <c r="Z43" i="41"/>
  <c r="Y44" i="41"/>
  <c r="Z44" i="41"/>
  <c r="Y45" i="41"/>
  <c r="Z45" i="41"/>
  <c r="Y46" i="41"/>
  <c r="Z46" i="41"/>
  <c r="Y47" i="41"/>
  <c r="Z47" i="41"/>
  <c r="Y48" i="41"/>
  <c r="Z48" i="41"/>
  <c r="Y49" i="41"/>
  <c r="Z49" i="41"/>
  <c r="Y50" i="41"/>
  <c r="Z50" i="41"/>
  <c r="Y51" i="41"/>
  <c r="Z51" i="41"/>
  <c r="Y52" i="41"/>
  <c r="Z52" i="41"/>
  <c r="Y53" i="41"/>
  <c r="Z53" i="41"/>
  <c r="Y54" i="41"/>
  <c r="Z54" i="41"/>
  <c r="Y55" i="41"/>
  <c r="Z55" i="41"/>
  <c r="Y56" i="41"/>
  <c r="Z56" i="41"/>
  <c r="Y57" i="41"/>
  <c r="Z57" i="41"/>
  <c r="Y58" i="41"/>
  <c r="Z58" i="41"/>
  <c r="Y59" i="41"/>
  <c r="Z59" i="41"/>
  <c r="Y60" i="41"/>
  <c r="Z60" i="41"/>
  <c r="Y61" i="41"/>
  <c r="Z61" i="41"/>
  <c r="Y62" i="41"/>
  <c r="Z62" i="41"/>
  <c r="Y63" i="41"/>
  <c r="Z63" i="41"/>
  <c r="Y64" i="41"/>
  <c r="Z64" i="41"/>
  <c r="Y65" i="41"/>
  <c r="Z65" i="41"/>
  <c r="Y66" i="41"/>
  <c r="Z66" i="41"/>
  <c r="Z11" i="41"/>
  <c r="Y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35" i="41"/>
  <c r="H36" i="41"/>
  <c r="H37" i="41"/>
  <c r="H38" i="41"/>
  <c r="H39" i="41"/>
  <c r="H40" i="41"/>
  <c r="H41" i="41"/>
  <c r="H43" i="41"/>
  <c r="H45" i="41"/>
  <c r="H46" i="41"/>
  <c r="H47" i="41"/>
  <c r="H49" i="41"/>
  <c r="H50" i="41"/>
  <c r="H51" i="41"/>
  <c r="H52" i="41"/>
  <c r="H53" i="41"/>
  <c r="H54" i="41"/>
  <c r="H55" i="41"/>
  <c r="H56" i="41"/>
  <c r="H57" i="41"/>
  <c r="H58" i="41"/>
  <c r="H59" i="41"/>
  <c r="H60" i="41"/>
  <c r="H61" i="41"/>
  <c r="H62" i="41"/>
  <c r="H63" i="41"/>
  <c r="H64" i="41"/>
  <c r="H65" i="41"/>
  <c r="H66" i="41"/>
  <c r="H11" i="41"/>
  <c r="Y45" i="10"/>
  <c r="X45" i="10"/>
  <c r="Y44" i="10"/>
  <c r="X44" i="10"/>
  <c r="Y43" i="10"/>
  <c r="X43" i="10"/>
  <c r="Y42" i="10"/>
  <c r="X42" i="10"/>
  <c r="Y41" i="10"/>
  <c r="X41" i="10"/>
  <c r="Y40" i="10"/>
  <c r="X40" i="10"/>
  <c r="Y39" i="10"/>
  <c r="X39" i="10"/>
  <c r="Y38" i="10"/>
  <c r="X38" i="10"/>
  <c r="X10" i="10"/>
  <c r="Y10" i="10"/>
  <c r="X11" i="10"/>
  <c r="Y11" i="10"/>
  <c r="X12" i="10"/>
  <c r="Y12" i="10"/>
  <c r="X13" i="10"/>
  <c r="Y13" i="10"/>
  <c r="X14" i="10"/>
  <c r="Y14" i="10"/>
  <c r="X15" i="10"/>
  <c r="Y15" i="10"/>
  <c r="X16" i="10"/>
  <c r="Y16" i="10"/>
  <c r="X17" i="10"/>
  <c r="Y17" i="10"/>
  <c r="X18" i="10"/>
  <c r="Y18" i="10"/>
  <c r="X19" i="10"/>
  <c r="Y19" i="10"/>
  <c r="X20" i="10"/>
  <c r="Y20" i="10"/>
  <c r="X21" i="10"/>
  <c r="Y21" i="10"/>
  <c r="X22" i="10"/>
  <c r="Y22" i="10"/>
  <c r="X23" i="10"/>
  <c r="Y23" i="10"/>
  <c r="X24" i="10"/>
  <c r="Y24" i="10"/>
  <c r="X25" i="10"/>
  <c r="Y25" i="10"/>
  <c r="X26" i="10"/>
  <c r="Y26" i="10"/>
  <c r="X27" i="10"/>
  <c r="Y27" i="10"/>
  <c r="X28" i="10"/>
  <c r="Y28" i="10"/>
  <c r="X29" i="10"/>
  <c r="Y29" i="10"/>
  <c r="X30" i="10"/>
  <c r="Y30" i="10"/>
  <c r="X31" i="10"/>
  <c r="Y31" i="10"/>
  <c r="X32" i="10"/>
  <c r="Y32" i="10"/>
  <c r="X33" i="10"/>
  <c r="Y33" i="10"/>
  <c r="X34" i="10"/>
  <c r="Y34" i="10"/>
  <c r="Y9" i="10"/>
  <c r="X9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V100" i="9"/>
  <c r="U100" i="9"/>
  <c r="W100" i="9" s="1"/>
  <c r="V99" i="9"/>
  <c r="U99" i="9"/>
  <c r="V97" i="9"/>
  <c r="U97" i="9"/>
  <c r="W97" i="9" s="1"/>
  <c r="V96" i="9"/>
  <c r="U96" i="9"/>
  <c r="V95" i="9"/>
  <c r="U95" i="9"/>
  <c r="W95" i="9" s="1"/>
  <c r="V94" i="9"/>
  <c r="U94" i="9"/>
  <c r="V93" i="9"/>
  <c r="U93" i="9"/>
  <c r="W93" i="9" s="1"/>
  <c r="V92" i="9"/>
  <c r="U92" i="9"/>
  <c r="V91" i="9"/>
  <c r="U91" i="9"/>
  <c r="W91" i="9" s="1"/>
  <c r="V90" i="9"/>
  <c r="U90" i="9"/>
  <c r="V89" i="9"/>
  <c r="U89" i="9"/>
  <c r="W89" i="9" s="1"/>
  <c r="V88" i="9"/>
  <c r="U88" i="9"/>
  <c r="V87" i="9"/>
  <c r="U87" i="9"/>
  <c r="W87" i="9" s="1"/>
  <c r="V86" i="9"/>
  <c r="U86" i="9"/>
  <c r="V85" i="9"/>
  <c r="U85" i="9"/>
  <c r="W85" i="9" s="1"/>
  <c r="V84" i="9"/>
  <c r="U84" i="9"/>
  <c r="V83" i="9"/>
  <c r="U83" i="9"/>
  <c r="W83" i="9" s="1"/>
  <c r="V82" i="9"/>
  <c r="U82" i="9"/>
  <c r="V79" i="9"/>
  <c r="U79" i="9"/>
  <c r="W79" i="9" s="1"/>
  <c r="V78" i="9"/>
  <c r="U78" i="9"/>
  <c r="V77" i="9"/>
  <c r="U77" i="9"/>
  <c r="W77" i="9" s="1"/>
  <c r="V76" i="9"/>
  <c r="U76" i="9"/>
  <c r="V75" i="9"/>
  <c r="U75" i="9"/>
  <c r="W75" i="9" s="1"/>
  <c r="V74" i="9"/>
  <c r="U74" i="9"/>
  <c r="V73" i="9"/>
  <c r="U73" i="9"/>
  <c r="W73" i="9" s="1"/>
  <c r="V72" i="9"/>
  <c r="U72" i="9"/>
  <c r="V71" i="9"/>
  <c r="U71" i="9"/>
  <c r="W71" i="9" s="1"/>
  <c r="V70" i="9"/>
  <c r="U70" i="9"/>
  <c r="V69" i="9"/>
  <c r="U69" i="9"/>
  <c r="W69" i="9" s="1"/>
  <c r="V68" i="9"/>
  <c r="U68" i="9"/>
  <c r="V67" i="9"/>
  <c r="U10" i="9"/>
  <c r="V10" i="9"/>
  <c r="U11" i="9"/>
  <c r="V11" i="9"/>
  <c r="U12" i="9"/>
  <c r="V12" i="9"/>
  <c r="U13" i="9"/>
  <c r="V13" i="9"/>
  <c r="U14" i="9"/>
  <c r="W14" i="9" s="1"/>
  <c r="U15" i="9"/>
  <c r="W15" i="9" s="1"/>
  <c r="V15" i="9"/>
  <c r="U16" i="9"/>
  <c r="V16" i="9"/>
  <c r="V17" i="9"/>
  <c r="V18" i="9"/>
  <c r="U19" i="9"/>
  <c r="V19" i="9"/>
  <c r="U20" i="9"/>
  <c r="V20" i="9"/>
  <c r="U21" i="9"/>
  <c r="V21" i="9"/>
  <c r="U22" i="9"/>
  <c r="V22" i="9"/>
  <c r="U23" i="9"/>
  <c r="W23" i="9" s="1"/>
  <c r="V23" i="9"/>
  <c r="U24" i="9"/>
  <c r="V24" i="9"/>
  <c r="U25" i="9"/>
  <c r="W25" i="9" s="1"/>
  <c r="V25" i="9"/>
  <c r="U26" i="9"/>
  <c r="V26" i="9"/>
  <c r="U27" i="9"/>
  <c r="W27" i="9" s="1"/>
  <c r="V27" i="9"/>
  <c r="U28" i="9"/>
  <c r="V28" i="9"/>
  <c r="U29" i="9"/>
  <c r="W29" i="9" s="1"/>
  <c r="V29" i="9"/>
  <c r="U30" i="9"/>
  <c r="V30" i="9"/>
  <c r="U31" i="9"/>
  <c r="W31" i="9" s="1"/>
  <c r="V31" i="9"/>
  <c r="U32" i="9"/>
  <c r="V32" i="9"/>
  <c r="U33" i="9"/>
  <c r="W33" i="9" s="1"/>
  <c r="V33" i="9"/>
  <c r="U34" i="9"/>
  <c r="V34" i="9"/>
  <c r="U35" i="9"/>
  <c r="W35" i="9" s="1"/>
  <c r="V35" i="9"/>
  <c r="U36" i="9"/>
  <c r="V36" i="9"/>
  <c r="U37" i="9"/>
  <c r="W37" i="9" s="1"/>
  <c r="V37" i="9"/>
  <c r="U38" i="9"/>
  <c r="V38" i="9"/>
  <c r="U39" i="9"/>
  <c r="W39" i="9" s="1"/>
  <c r="V39" i="9"/>
  <c r="U40" i="9"/>
  <c r="V40" i="9"/>
  <c r="U41" i="9"/>
  <c r="W41" i="9" s="1"/>
  <c r="V41" i="9"/>
  <c r="U42" i="9"/>
  <c r="V42" i="9"/>
  <c r="U43" i="9"/>
  <c r="W43" i="9" s="1"/>
  <c r="V43" i="9"/>
  <c r="U44" i="9"/>
  <c r="V44" i="9"/>
  <c r="U45" i="9"/>
  <c r="W45" i="9" s="1"/>
  <c r="V45" i="9"/>
  <c r="U46" i="9"/>
  <c r="V46" i="9"/>
  <c r="U47" i="9"/>
  <c r="W47" i="9" s="1"/>
  <c r="V47" i="9"/>
  <c r="U48" i="9"/>
  <c r="V48" i="9"/>
  <c r="U49" i="9"/>
  <c r="W49" i="9" s="1"/>
  <c r="V49" i="9"/>
  <c r="U50" i="9"/>
  <c r="V50" i="9"/>
  <c r="U51" i="9"/>
  <c r="W51" i="9" s="1"/>
  <c r="V51" i="9"/>
  <c r="U52" i="9"/>
  <c r="V52" i="9"/>
  <c r="V53" i="9"/>
  <c r="U54" i="9"/>
  <c r="V54" i="9"/>
  <c r="U55" i="9"/>
  <c r="V55" i="9"/>
  <c r="U56" i="9"/>
  <c r="V56" i="9"/>
  <c r="U57" i="9"/>
  <c r="V57" i="9"/>
  <c r="U58" i="9"/>
  <c r="V58" i="9"/>
  <c r="U59" i="9"/>
  <c r="V59" i="9"/>
  <c r="U60" i="9"/>
  <c r="V60" i="9"/>
  <c r="U61" i="9"/>
  <c r="V61" i="9"/>
  <c r="U62" i="9"/>
  <c r="V62" i="9"/>
  <c r="U63" i="9"/>
  <c r="V63" i="9"/>
  <c r="U64" i="9"/>
  <c r="V64" i="9"/>
  <c r="V9" i="9"/>
  <c r="U9" i="9"/>
  <c r="AG84" i="8"/>
  <c r="AF84" i="8"/>
  <c r="AG83" i="8"/>
  <c r="AF83" i="8"/>
  <c r="AG82" i="8"/>
  <c r="AF82" i="8"/>
  <c r="AG81" i="8"/>
  <c r="AF81" i="8"/>
  <c r="AG80" i="8"/>
  <c r="AF80" i="8"/>
  <c r="AG79" i="8"/>
  <c r="AF79" i="8"/>
  <c r="AG78" i="8"/>
  <c r="AF78" i="8"/>
  <c r="AG77" i="8"/>
  <c r="AF77" i="8"/>
  <c r="AG76" i="8"/>
  <c r="AF76" i="8"/>
  <c r="AG75" i="8"/>
  <c r="AF75" i="8"/>
  <c r="AG74" i="8"/>
  <c r="AF74" i="8"/>
  <c r="AG73" i="8"/>
  <c r="AF73" i="8"/>
  <c r="AG72" i="8"/>
  <c r="AF72" i="8"/>
  <c r="AG68" i="8"/>
  <c r="AF68" i="8"/>
  <c r="AG67" i="8"/>
  <c r="AF67" i="8"/>
  <c r="AG66" i="8"/>
  <c r="AF66" i="8"/>
  <c r="AG65" i="8"/>
  <c r="AF65" i="8"/>
  <c r="AG64" i="8"/>
  <c r="AF64" i="8"/>
  <c r="AG63" i="8"/>
  <c r="AF63" i="8"/>
  <c r="AG62" i="8"/>
  <c r="AF62" i="8"/>
  <c r="AG61" i="8"/>
  <c r="AF61" i="8"/>
  <c r="AG60" i="8"/>
  <c r="AF60" i="8"/>
  <c r="AG59" i="8"/>
  <c r="AF59" i="8"/>
  <c r="AG58" i="8"/>
  <c r="AF58" i="8"/>
  <c r="AG57" i="8"/>
  <c r="AF57" i="8"/>
  <c r="AG56" i="8"/>
  <c r="AF56" i="8"/>
  <c r="AG54" i="8"/>
  <c r="AF54" i="8"/>
  <c r="AG53" i="8"/>
  <c r="AF53" i="8"/>
  <c r="AG52" i="8"/>
  <c r="AF52" i="8"/>
  <c r="AG51" i="8"/>
  <c r="AF51" i="8"/>
  <c r="AG50" i="8"/>
  <c r="AF50" i="8"/>
  <c r="AG49" i="8"/>
  <c r="AF49" i="8"/>
  <c r="AG48" i="8"/>
  <c r="AF48" i="8"/>
  <c r="AG47" i="8"/>
  <c r="AF47" i="8"/>
  <c r="AG46" i="8"/>
  <c r="AF46" i="8"/>
  <c r="AG45" i="8"/>
  <c r="AF45" i="8"/>
  <c r="AG44" i="8"/>
  <c r="AF44" i="8"/>
  <c r="AG43" i="8"/>
  <c r="AF43" i="8"/>
  <c r="AG42" i="8"/>
  <c r="AF42" i="8"/>
  <c r="AG41" i="8"/>
  <c r="AF41" i="8"/>
  <c r="AG40" i="8"/>
  <c r="AF40" i="8"/>
  <c r="AG39" i="8"/>
  <c r="AF39" i="8"/>
  <c r="AG38" i="8"/>
  <c r="AF38" i="8"/>
  <c r="AG37" i="8"/>
  <c r="AF37" i="8"/>
  <c r="AG36" i="8"/>
  <c r="AF36" i="8"/>
  <c r="AG35" i="8"/>
  <c r="AF35" i="8"/>
  <c r="AG34" i="8"/>
  <c r="AF34" i="8"/>
  <c r="AG33" i="8"/>
  <c r="AF33" i="8"/>
  <c r="AG32" i="8"/>
  <c r="AF32" i="8"/>
  <c r="AG31" i="8"/>
  <c r="AF31" i="8"/>
  <c r="AG30" i="8"/>
  <c r="AF30" i="8"/>
  <c r="AG29" i="8"/>
  <c r="AF29" i="8"/>
  <c r="AG28" i="8"/>
  <c r="AF28" i="8"/>
  <c r="AG25" i="8"/>
  <c r="AF25" i="8"/>
  <c r="AG24" i="8"/>
  <c r="AF24" i="8"/>
  <c r="AG23" i="8"/>
  <c r="AF23" i="8"/>
  <c r="AG22" i="8"/>
  <c r="AF22" i="8"/>
  <c r="AG21" i="8"/>
  <c r="AF21" i="8"/>
  <c r="AG20" i="8"/>
  <c r="AF20" i="8"/>
  <c r="AG19" i="8"/>
  <c r="AF19" i="8"/>
  <c r="AG18" i="8"/>
  <c r="AF18" i="8"/>
  <c r="AG17" i="8"/>
  <c r="AF17" i="8"/>
  <c r="AG16" i="8"/>
  <c r="AF16" i="8"/>
  <c r="AG15" i="8"/>
  <c r="AF15" i="8"/>
  <c r="AG14" i="8"/>
  <c r="AF14" i="8"/>
  <c r="AG13" i="8"/>
  <c r="AF13" i="8"/>
  <c r="AG12" i="8"/>
  <c r="AF12" i="8"/>
  <c r="AG11" i="8"/>
  <c r="AF11" i="8"/>
  <c r="AG10" i="8"/>
  <c r="AF10" i="8"/>
  <c r="AG9" i="8"/>
  <c r="AF9" i="8"/>
  <c r="AG8" i="8"/>
  <c r="AF8" i="8"/>
  <c r="O54" i="8"/>
  <c r="O53" i="8"/>
  <c r="O52" i="8"/>
  <c r="O51" i="8"/>
  <c r="O50" i="8"/>
  <c r="O49" i="8"/>
  <c r="O47" i="8"/>
  <c r="O46" i="8"/>
  <c r="O45" i="8"/>
  <c r="O44" i="8"/>
  <c r="O43" i="8"/>
  <c r="O42" i="8"/>
  <c r="O39" i="8"/>
  <c r="O38" i="8"/>
  <c r="O37" i="8"/>
  <c r="O35" i="8"/>
  <c r="O34" i="8"/>
  <c r="O33" i="8"/>
  <c r="O32" i="8"/>
  <c r="O30" i="8"/>
  <c r="O29" i="8"/>
  <c r="O28" i="8"/>
  <c r="O25" i="8"/>
  <c r="O24" i="8"/>
  <c r="O23" i="8"/>
  <c r="O22" i="8"/>
  <c r="O21" i="8"/>
  <c r="O20" i="8"/>
  <c r="O19" i="8"/>
  <c r="O18" i="8"/>
  <c r="O17" i="8"/>
  <c r="O16" i="8"/>
  <c r="O15" i="8"/>
  <c r="O14" i="8"/>
  <c r="O12" i="8"/>
  <c r="O11" i="8"/>
  <c r="O10" i="8"/>
  <c r="O9" i="8"/>
  <c r="O8" i="8"/>
  <c r="AA65" i="39"/>
  <c r="Z65" i="39"/>
  <c r="AA64" i="39"/>
  <c r="Z64" i="39"/>
  <c r="AA63" i="39"/>
  <c r="Z63" i="39"/>
  <c r="AA62" i="39"/>
  <c r="Z62" i="39"/>
  <c r="AA61" i="39"/>
  <c r="Z61" i="39"/>
  <c r="AA60" i="39"/>
  <c r="Z60" i="39"/>
  <c r="AA59" i="39"/>
  <c r="Z59" i="39"/>
  <c r="AA58" i="39"/>
  <c r="Z58" i="39"/>
  <c r="AA56" i="39"/>
  <c r="Z56" i="39"/>
  <c r="AA55" i="39"/>
  <c r="Z55" i="39"/>
  <c r="AA54" i="39"/>
  <c r="Z54" i="39"/>
  <c r="AA53" i="39"/>
  <c r="Z53" i="39"/>
  <c r="AA52" i="39"/>
  <c r="Z52" i="39"/>
  <c r="AA51" i="39"/>
  <c r="Z51" i="39"/>
  <c r="AA50" i="39"/>
  <c r="Z50" i="39"/>
  <c r="AA49" i="39"/>
  <c r="Z49" i="39"/>
  <c r="AA48" i="39"/>
  <c r="Z48" i="39"/>
  <c r="AA47" i="39"/>
  <c r="Z47" i="39"/>
  <c r="AA46" i="39"/>
  <c r="Z46" i="39"/>
  <c r="AA43" i="39"/>
  <c r="Z43" i="39"/>
  <c r="AA42" i="39"/>
  <c r="Z42" i="39"/>
  <c r="AA41" i="39"/>
  <c r="Z41" i="39"/>
  <c r="AA40" i="39"/>
  <c r="Z40" i="39"/>
  <c r="AA39" i="39"/>
  <c r="Z39" i="39"/>
  <c r="AA38" i="39"/>
  <c r="Z38" i="39"/>
  <c r="AA37" i="39"/>
  <c r="Z37" i="39"/>
  <c r="AA36" i="39"/>
  <c r="Z36" i="39"/>
  <c r="AA35" i="39"/>
  <c r="Z35" i="39"/>
  <c r="AA34" i="39"/>
  <c r="Z34" i="39"/>
  <c r="AA33" i="39"/>
  <c r="Z33" i="39"/>
  <c r="AA32" i="39"/>
  <c r="Z32" i="39"/>
  <c r="AA31" i="39"/>
  <c r="Z31" i="39"/>
  <c r="AA30" i="39"/>
  <c r="AA29" i="39"/>
  <c r="Z29" i="39"/>
  <c r="AA28" i="39"/>
  <c r="Z28" i="39"/>
  <c r="Z9" i="39"/>
  <c r="AA9" i="39"/>
  <c r="Z10" i="39"/>
  <c r="AA10" i="39"/>
  <c r="Z11" i="39"/>
  <c r="AA11" i="39"/>
  <c r="Z12" i="39"/>
  <c r="AA12" i="39"/>
  <c r="Z13" i="39"/>
  <c r="AA13" i="39"/>
  <c r="Z14" i="39"/>
  <c r="AA14" i="39"/>
  <c r="Z15" i="39"/>
  <c r="AA15" i="39"/>
  <c r="Z16" i="39"/>
  <c r="AA16" i="39"/>
  <c r="Z17" i="39"/>
  <c r="AA17" i="39"/>
  <c r="Z18" i="39"/>
  <c r="AA18" i="39"/>
  <c r="Z19" i="39"/>
  <c r="AA19" i="39"/>
  <c r="Z20" i="39"/>
  <c r="AA20" i="39"/>
  <c r="Z21" i="39"/>
  <c r="AA21" i="39"/>
  <c r="Z22" i="39"/>
  <c r="AA22" i="39"/>
  <c r="Z23" i="39"/>
  <c r="AA23" i="39"/>
  <c r="Z24" i="39"/>
  <c r="AA24" i="39"/>
  <c r="Z25" i="39"/>
  <c r="AA25" i="39"/>
  <c r="AA8" i="39"/>
  <c r="Z8" i="39"/>
  <c r="I43" i="39"/>
  <c r="I42" i="39"/>
  <c r="I41" i="39"/>
  <c r="I40" i="39"/>
  <c r="I39" i="39"/>
  <c r="I38" i="39"/>
  <c r="I37" i="39"/>
  <c r="I36" i="39"/>
  <c r="I35" i="39"/>
  <c r="I34" i="39"/>
  <c r="I33" i="39"/>
  <c r="I32" i="39"/>
  <c r="I31" i="39"/>
  <c r="I30" i="39"/>
  <c r="I29" i="39"/>
  <c r="I28" i="39"/>
  <c r="I25" i="39"/>
  <c r="I24" i="39"/>
  <c r="I23" i="39"/>
  <c r="I22" i="39"/>
  <c r="I21" i="39"/>
  <c r="I20" i="39"/>
  <c r="I19" i="39"/>
  <c r="I18" i="39"/>
  <c r="I17" i="39"/>
  <c r="I16" i="39"/>
  <c r="I15" i="39"/>
  <c r="I14" i="39"/>
  <c r="I12" i="39"/>
  <c r="I11" i="39"/>
  <c r="I10" i="39"/>
  <c r="I9" i="39"/>
  <c r="I8" i="39"/>
  <c r="W48" i="40"/>
  <c r="V48" i="40"/>
  <c r="W47" i="40"/>
  <c r="V47" i="40"/>
  <c r="W46" i="40"/>
  <c r="V46" i="40"/>
  <c r="W45" i="40"/>
  <c r="V45" i="40"/>
  <c r="W44" i="40"/>
  <c r="V44" i="40"/>
  <c r="W43" i="40"/>
  <c r="V43" i="40"/>
  <c r="W42" i="40"/>
  <c r="V42" i="40"/>
  <c r="W41" i="40"/>
  <c r="V41" i="40"/>
  <c r="W40" i="40"/>
  <c r="V40" i="40"/>
  <c r="W36" i="40"/>
  <c r="V36" i="40"/>
  <c r="W35" i="40"/>
  <c r="V35" i="40"/>
  <c r="V11" i="40"/>
  <c r="W11" i="40"/>
  <c r="V12" i="40"/>
  <c r="W12" i="40"/>
  <c r="V13" i="40"/>
  <c r="W13" i="40"/>
  <c r="V14" i="40"/>
  <c r="W14" i="40"/>
  <c r="V15" i="40"/>
  <c r="W15" i="40"/>
  <c r="V16" i="40"/>
  <c r="W16" i="40"/>
  <c r="V17" i="40"/>
  <c r="W17" i="40"/>
  <c r="V18" i="40"/>
  <c r="W18" i="40"/>
  <c r="V19" i="40"/>
  <c r="W19" i="40"/>
  <c r="V20" i="40"/>
  <c r="W20" i="40"/>
  <c r="V21" i="40"/>
  <c r="W21" i="40"/>
  <c r="V22" i="40"/>
  <c r="W22" i="40"/>
  <c r="V23" i="40"/>
  <c r="W23" i="40"/>
  <c r="V24" i="40"/>
  <c r="W24" i="40"/>
  <c r="V25" i="40"/>
  <c r="W25" i="40"/>
  <c r="V26" i="40"/>
  <c r="W26" i="40"/>
  <c r="V27" i="40"/>
  <c r="W27" i="40"/>
  <c r="V28" i="40"/>
  <c r="W28" i="40"/>
  <c r="V29" i="40"/>
  <c r="W29" i="40"/>
  <c r="V30" i="40"/>
  <c r="W30" i="40"/>
  <c r="V31" i="40"/>
  <c r="W31" i="40"/>
  <c r="V32" i="40"/>
  <c r="W32" i="40"/>
  <c r="W10" i="40"/>
  <c r="V10" i="40"/>
  <c r="G11" i="40"/>
  <c r="G12" i="40"/>
  <c r="G13" i="40"/>
  <c r="G14" i="40"/>
  <c r="G15" i="40"/>
  <c r="G16" i="40"/>
  <c r="G17" i="40"/>
  <c r="G18" i="40"/>
  <c r="G20" i="40"/>
  <c r="G21" i="40"/>
  <c r="G22" i="40"/>
  <c r="G23" i="40"/>
  <c r="G24" i="40"/>
  <c r="G25" i="40"/>
  <c r="G26" i="40"/>
  <c r="G27" i="40"/>
  <c r="G28" i="40"/>
  <c r="G29" i="40"/>
  <c r="G30" i="40"/>
  <c r="G31" i="40"/>
  <c r="G32" i="40"/>
  <c r="G10" i="40"/>
  <c r="V9" i="7"/>
  <c r="E13" i="7"/>
  <c r="E12" i="7"/>
  <c r="E11" i="7"/>
  <c r="E10" i="7"/>
  <c r="E9" i="7"/>
  <c r="Y9" i="5"/>
  <c r="Z30" i="5"/>
  <c r="Y30" i="5"/>
  <c r="Z29" i="5"/>
  <c r="Y29" i="5"/>
  <c r="Z28" i="5"/>
  <c r="Y28" i="5"/>
  <c r="Z25" i="5"/>
  <c r="Z24" i="5"/>
  <c r="Y24" i="5"/>
  <c r="Y10" i="5"/>
  <c r="Z10" i="5"/>
  <c r="Y11" i="5"/>
  <c r="Z11" i="5"/>
  <c r="Y12" i="5"/>
  <c r="Z12" i="5"/>
  <c r="Y13" i="5"/>
  <c r="Z13" i="5"/>
  <c r="Y14" i="5"/>
  <c r="Z14" i="5"/>
  <c r="Y15" i="5"/>
  <c r="Z15" i="5"/>
  <c r="Y16" i="5"/>
  <c r="Z16" i="5"/>
  <c r="Y17" i="5"/>
  <c r="Z17" i="5"/>
  <c r="Y18" i="5"/>
  <c r="Z18" i="5"/>
  <c r="Y19" i="5"/>
  <c r="Z19" i="5"/>
  <c r="Y20" i="5"/>
  <c r="Z20" i="5"/>
  <c r="Z9" i="5"/>
  <c r="H20" i="5"/>
  <c r="H10" i="5"/>
  <c r="H11" i="5"/>
  <c r="H12" i="5"/>
  <c r="H13" i="5"/>
  <c r="H14" i="5"/>
  <c r="H15" i="5"/>
  <c r="H16" i="5"/>
  <c r="H17" i="5"/>
  <c r="H18" i="5"/>
  <c r="H19" i="5"/>
  <c r="H9" i="5"/>
  <c r="W15" i="38"/>
  <c r="V15" i="38"/>
  <c r="W14" i="38"/>
  <c r="V14" i="38"/>
  <c r="W13" i="38"/>
  <c r="V13" i="38"/>
  <c r="W12" i="38"/>
  <c r="V12" i="38"/>
  <c r="W11" i="38"/>
  <c r="V11" i="38"/>
  <c r="W10" i="38"/>
  <c r="V10" i="38"/>
  <c r="W9" i="38"/>
  <c r="V9" i="38"/>
  <c r="E15" i="38"/>
  <c r="E14" i="38"/>
  <c r="E13" i="38"/>
  <c r="E12" i="38"/>
  <c r="E11" i="38"/>
  <c r="E10" i="38"/>
  <c r="E9" i="38"/>
  <c r="W30" i="4"/>
  <c r="V30" i="4"/>
  <c r="W29" i="4"/>
  <c r="V29" i="4"/>
  <c r="W28" i="4"/>
  <c r="V28" i="4"/>
  <c r="W27" i="4"/>
  <c r="V27" i="4"/>
  <c r="V9" i="4"/>
  <c r="W9" i="4"/>
  <c r="V10" i="4"/>
  <c r="W10" i="4"/>
  <c r="V11" i="4"/>
  <c r="W11" i="4"/>
  <c r="V12" i="4"/>
  <c r="W12" i="4"/>
  <c r="V13" i="4"/>
  <c r="W13" i="4"/>
  <c r="V14" i="4"/>
  <c r="W14" i="4"/>
  <c r="V15" i="4"/>
  <c r="W15" i="4"/>
  <c r="V16" i="4"/>
  <c r="W16" i="4"/>
  <c r="V17" i="4"/>
  <c r="W17" i="4"/>
  <c r="V18" i="4"/>
  <c r="W18" i="4"/>
  <c r="V19" i="4"/>
  <c r="W19" i="4"/>
  <c r="V20" i="4"/>
  <c r="W20" i="4"/>
  <c r="V21" i="4"/>
  <c r="W21" i="4"/>
  <c r="V22" i="4"/>
  <c r="W22" i="4"/>
  <c r="V23" i="4"/>
  <c r="W23" i="4"/>
  <c r="V24" i="4"/>
  <c r="W24" i="4"/>
  <c r="W8" i="4"/>
  <c r="V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8" i="4"/>
  <c r="AB138" i="2"/>
  <c r="AA138" i="2"/>
  <c r="AB137" i="2"/>
  <c r="AA137" i="2"/>
  <c r="AB136" i="2"/>
  <c r="AA136" i="2"/>
  <c r="AB135" i="2"/>
  <c r="AA135" i="2"/>
  <c r="AB134" i="2"/>
  <c r="AA134" i="2"/>
  <c r="AB133" i="2"/>
  <c r="AA133" i="2"/>
  <c r="AB132" i="2"/>
  <c r="AA132" i="2"/>
  <c r="AB131" i="2"/>
  <c r="AA131" i="2"/>
  <c r="AB130" i="2"/>
  <c r="AA130" i="2"/>
  <c r="AB129" i="2"/>
  <c r="AA129" i="2"/>
  <c r="AB128" i="2"/>
  <c r="AA128" i="2"/>
  <c r="AB127" i="2"/>
  <c r="AA127" i="2"/>
  <c r="AB126" i="2"/>
  <c r="AA126" i="2"/>
  <c r="AA98" i="2"/>
  <c r="AB98" i="2"/>
  <c r="AA99" i="2"/>
  <c r="AB99" i="2"/>
  <c r="AA100" i="2"/>
  <c r="AB100" i="2"/>
  <c r="AA101" i="2"/>
  <c r="AB101" i="2"/>
  <c r="AA102" i="2"/>
  <c r="AB102" i="2"/>
  <c r="AA103" i="2"/>
  <c r="AB103" i="2"/>
  <c r="AA104" i="2"/>
  <c r="AB104" i="2"/>
  <c r="AA105" i="2"/>
  <c r="AB105" i="2"/>
  <c r="AA106" i="2"/>
  <c r="AB106" i="2"/>
  <c r="AA107" i="2"/>
  <c r="AB107" i="2"/>
  <c r="AA108" i="2"/>
  <c r="AB108" i="2"/>
  <c r="AA109" i="2"/>
  <c r="AB109" i="2"/>
  <c r="AA110" i="2"/>
  <c r="AB110" i="2"/>
  <c r="AA111" i="2"/>
  <c r="AB111" i="2"/>
  <c r="AA112" i="2"/>
  <c r="AB112" i="2"/>
  <c r="AA113" i="2"/>
  <c r="AB113" i="2"/>
  <c r="AA114" i="2"/>
  <c r="AB114" i="2"/>
  <c r="AA115" i="2"/>
  <c r="AB115" i="2"/>
  <c r="AA116" i="2"/>
  <c r="AB116" i="2"/>
  <c r="AA117" i="2"/>
  <c r="AB117" i="2"/>
  <c r="AA118" i="2"/>
  <c r="AB118" i="2"/>
  <c r="AA119" i="2"/>
  <c r="AB119" i="2"/>
  <c r="AA120" i="2"/>
  <c r="AB120" i="2"/>
  <c r="AA121" i="2"/>
  <c r="AB121" i="2"/>
  <c r="AA122" i="2"/>
  <c r="AB122" i="2"/>
  <c r="AA123" i="2"/>
  <c r="AB123" i="2"/>
  <c r="AB97" i="2"/>
  <c r="AA97" i="2"/>
  <c r="AB95" i="2"/>
  <c r="AA95" i="2"/>
  <c r="AB94" i="2"/>
  <c r="AA94" i="2"/>
  <c r="AB93" i="2"/>
  <c r="AA93" i="2"/>
  <c r="AB90" i="2"/>
  <c r="AA90" i="2"/>
  <c r="AB89" i="2"/>
  <c r="AA89" i="2"/>
  <c r="AB88" i="2"/>
  <c r="AA88" i="2"/>
  <c r="AB87" i="2"/>
  <c r="AA87" i="2"/>
  <c r="AB86" i="2"/>
  <c r="AA86" i="2"/>
  <c r="AB85" i="2"/>
  <c r="AA85" i="2"/>
  <c r="AB84" i="2"/>
  <c r="AA84" i="2"/>
  <c r="AB83" i="2"/>
  <c r="AA83" i="2"/>
  <c r="AB82" i="2"/>
  <c r="AA82" i="2"/>
  <c r="AB81" i="2"/>
  <c r="AA81" i="2"/>
  <c r="AB80" i="2"/>
  <c r="AA80" i="2"/>
  <c r="AB79" i="2"/>
  <c r="AA79" i="2"/>
  <c r="AB78" i="2"/>
  <c r="AA78" i="2"/>
  <c r="AB77" i="2"/>
  <c r="AA77" i="2"/>
  <c r="AB76" i="2"/>
  <c r="AA76" i="2"/>
  <c r="AB75" i="2"/>
  <c r="AA75" i="2"/>
  <c r="AB74" i="2"/>
  <c r="AA74" i="2"/>
  <c r="AB73" i="2"/>
  <c r="AA73" i="2"/>
  <c r="AB72" i="2"/>
  <c r="AA72" i="2"/>
  <c r="AB71" i="2"/>
  <c r="AA71" i="2"/>
  <c r="AB70" i="2"/>
  <c r="AA70" i="2"/>
  <c r="AB69" i="2"/>
  <c r="AA69" i="2"/>
  <c r="AB68" i="2"/>
  <c r="AA68" i="2"/>
  <c r="AB67" i="2"/>
  <c r="AA67" i="2"/>
  <c r="AB66" i="2"/>
  <c r="AA66" i="2"/>
  <c r="AB65" i="2"/>
  <c r="AA65" i="2"/>
  <c r="AB64" i="2"/>
  <c r="AA64" i="2"/>
  <c r="AB63" i="2"/>
  <c r="AA63" i="2"/>
  <c r="AB62" i="2"/>
  <c r="AA62" i="2"/>
  <c r="AB61" i="2"/>
  <c r="AA61" i="2"/>
  <c r="AB60" i="2"/>
  <c r="AA60" i="2"/>
  <c r="AB59" i="2"/>
  <c r="AA59" i="2"/>
  <c r="AB58" i="2"/>
  <c r="AA58" i="2"/>
  <c r="AB57" i="2"/>
  <c r="AA57" i="2"/>
  <c r="AB56" i="2"/>
  <c r="AA56" i="2"/>
  <c r="AB55" i="2"/>
  <c r="AA55" i="2"/>
  <c r="AB54" i="2"/>
  <c r="AA54" i="2"/>
  <c r="AB53" i="2"/>
  <c r="AA53" i="2"/>
  <c r="AB52" i="2"/>
  <c r="AA52" i="2"/>
  <c r="AB51" i="2"/>
  <c r="AA51" i="2"/>
  <c r="AB50" i="2"/>
  <c r="AA50" i="2"/>
  <c r="AB49" i="2"/>
  <c r="AA49" i="2"/>
  <c r="AB48" i="2"/>
  <c r="AA48" i="2"/>
  <c r="AB47" i="2"/>
  <c r="AA47" i="2"/>
  <c r="AB46" i="2"/>
  <c r="AA46" i="2"/>
  <c r="AB45" i="2"/>
  <c r="AA45" i="2"/>
  <c r="AB44" i="2"/>
  <c r="AA44" i="2"/>
  <c r="AB43" i="2"/>
  <c r="AA43" i="2"/>
  <c r="AB42" i="2"/>
  <c r="AA42" i="2"/>
  <c r="AB41" i="2"/>
  <c r="AA41" i="2"/>
  <c r="AB40" i="2"/>
  <c r="AA40" i="2"/>
  <c r="AB39" i="2"/>
  <c r="AA39" i="2"/>
  <c r="AB38" i="2"/>
  <c r="AA38" i="2"/>
  <c r="AB37" i="2"/>
  <c r="AA37" i="2"/>
  <c r="AB36" i="2"/>
  <c r="AA36" i="2"/>
  <c r="AB35" i="2"/>
  <c r="AA35" i="2"/>
  <c r="AB34" i="2"/>
  <c r="AA34" i="2"/>
  <c r="AB33" i="2"/>
  <c r="AA33" i="2"/>
  <c r="AB32" i="2"/>
  <c r="AA32" i="2"/>
  <c r="AB31" i="2"/>
  <c r="AA31" i="2"/>
  <c r="AA9" i="2"/>
  <c r="AB9" i="2"/>
  <c r="AA10" i="2"/>
  <c r="AB10" i="2"/>
  <c r="AA11" i="2"/>
  <c r="AB11" i="2"/>
  <c r="AA12" i="2"/>
  <c r="AB12" i="2"/>
  <c r="AA13" i="2"/>
  <c r="AB13" i="2"/>
  <c r="AA14" i="2"/>
  <c r="AB14" i="2"/>
  <c r="AA15" i="2"/>
  <c r="AB15" i="2"/>
  <c r="AA16" i="2"/>
  <c r="AB16" i="2"/>
  <c r="AA17" i="2"/>
  <c r="AB17" i="2"/>
  <c r="AA18" i="2"/>
  <c r="AB18" i="2"/>
  <c r="AA19" i="2"/>
  <c r="AB19" i="2"/>
  <c r="AA20" i="2"/>
  <c r="AB20" i="2"/>
  <c r="AA21" i="2"/>
  <c r="AB21" i="2"/>
  <c r="AA22" i="2"/>
  <c r="AB22" i="2"/>
  <c r="AA23" i="2"/>
  <c r="AB23" i="2"/>
  <c r="AA24" i="2"/>
  <c r="AB24" i="2"/>
  <c r="AA25" i="2"/>
  <c r="AB25" i="2"/>
  <c r="AA26" i="2"/>
  <c r="AB26" i="2"/>
  <c r="AA27" i="2"/>
  <c r="AB27" i="2"/>
  <c r="AA28" i="2"/>
  <c r="AB28" i="2"/>
  <c r="AB8" i="2"/>
  <c r="AA8" i="2"/>
  <c r="L95" i="2"/>
  <c r="L94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26" i="2"/>
  <c r="L25" i="2"/>
  <c r="L24" i="2"/>
  <c r="L23" i="2"/>
  <c r="L22" i="2"/>
  <c r="L21" i="2"/>
  <c r="L20" i="2"/>
  <c r="L19" i="2"/>
  <c r="L18" i="2"/>
  <c r="L17" i="2"/>
  <c r="L16" i="2"/>
  <c r="L15" i="2"/>
  <c r="L9" i="2"/>
  <c r="L10" i="2"/>
  <c r="L11" i="2"/>
  <c r="L12" i="2"/>
  <c r="L8" i="2"/>
  <c r="X54" i="14"/>
  <c r="W54" i="14"/>
  <c r="X53" i="14"/>
  <c r="W53" i="14"/>
  <c r="X52" i="14"/>
  <c r="W52" i="14"/>
  <c r="X51" i="14"/>
  <c r="W51" i="14"/>
  <c r="X50" i="14"/>
  <c r="W50" i="14"/>
  <c r="X49" i="14"/>
  <c r="W49" i="14"/>
  <c r="X48" i="14"/>
  <c r="W48" i="14"/>
  <c r="X47" i="14"/>
  <c r="W47" i="14"/>
  <c r="X46" i="14"/>
  <c r="W46" i="14"/>
  <c r="X45" i="14"/>
  <c r="W45" i="14"/>
  <c r="X44" i="14"/>
  <c r="W44" i="14"/>
  <c r="X43" i="14"/>
  <c r="W43" i="14"/>
  <c r="X42" i="14"/>
  <c r="W42" i="14"/>
  <c r="X41" i="14"/>
  <c r="W41" i="14"/>
  <c r="X40" i="14"/>
  <c r="W40" i="14"/>
  <c r="X39" i="14"/>
  <c r="W39" i="14"/>
  <c r="X38" i="14"/>
  <c r="W38" i="14"/>
  <c r="X37" i="14"/>
  <c r="W37" i="14"/>
  <c r="W9" i="14"/>
  <c r="X9" i="14"/>
  <c r="W10" i="14"/>
  <c r="X10" i="14"/>
  <c r="W11" i="14"/>
  <c r="X11" i="14"/>
  <c r="W12" i="14"/>
  <c r="X12" i="14"/>
  <c r="W13" i="14"/>
  <c r="X13" i="14"/>
  <c r="W14" i="14"/>
  <c r="X14" i="14"/>
  <c r="W15" i="14"/>
  <c r="X15" i="14"/>
  <c r="W16" i="14"/>
  <c r="X16" i="14"/>
  <c r="X17" i="14"/>
  <c r="W18" i="14"/>
  <c r="X18" i="14"/>
  <c r="W19" i="14"/>
  <c r="X19" i="14"/>
  <c r="W20" i="14"/>
  <c r="X20" i="14"/>
  <c r="W21" i="14"/>
  <c r="X21" i="14"/>
  <c r="W22" i="14"/>
  <c r="X22" i="14"/>
  <c r="W23" i="14"/>
  <c r="X23" i="14"/>
  <c r="W24" i="14"/>
  <c r="X24" i="14"/>
  <c r="W25" i="14"/>
  <c r="X25" i="14"/>
  <c r="W26" i="14"/>
  <c r="X26" i="14"/>
  <c r="W27" i="14"/>
  <c r="X27" i="14"/>
  <c r="W28" i="14"/>
  <c r="X28" i="14"/>
  <c r="W29" i="14"/>
  <c r="X29" i="14"/>
  <c r="W30" i="14"/>
  <c r="X30" i="14"/>
  <c r="W31" i="14"/>
  <c r="X31" i="14"/>
  <c r="W32" i="14"/>
  <c r="X32" i="14"/>
  <c r="W33" i="14"/>
  <c r="X33" i="14"/>
  <c r="W34" i="14"/>
  <c r="X34" i="14"/>
  <c r="X8" i="14"/>
  <c r="W8" i="14"/>
  <c r="W12" i="9" l="1"/>
  <c r="W10" i="9"/>
  <c r="W21" i="9"/>
  <c r="W19" i="9"/>
  <c r="W63" i="9"/>
  <c r="W61" i="9"/>
  <c r="W59" i="9"/>
  <c r="W57" i="9"/>
  <c r="W55" i="9"/>
  <c r="W9" i="9"/>
  <c r="W64" i="9"/>
  <c r="W60" i="9"/>
  <c r="W56" i="9"/>
  <c r="W52" i="9"/>
  <c r="W48" i="9"/>
  <c r="W44" i="9"/>
  <c r="W40" i="9"/>
  <c r="W36" i="9"/>
  <c r="W32" i="9"/>
  <c r="W28" i="9"/>
  <c r="W24" i="9"/>
  <c r="W20" i="9"/>
  <c r="W16" i="9"/>
  <c r="W13" i="9"/>
  <c r="W11" i="9"/>
  <c r="W62" i="9"/>
  <c r="W58" i="9"/>
  <c r="W54" i="9"/>
  <c r="W50" i="9"/>
  <c r="W46" i="9"/>
  <c r="W42" i="9"/>
  <c r="W38" i="9"/>
  <c r="W34" i="9"/>
  <c r="W30" i="9"/>
  <c r="W26" i="9"/>
  <c r="W22" i="9"/>
  <c r="W70" i="9"/>
  <c r="W72" i="9"/>
  <c r="W74" i="9"/>
  <c r="W76" i="9"/>
  <c r="W78" i="9"/>
  <c r="W82" i="9"/>
  <c r="W84" i="9"/>
  <c r="W86" i="9"/>
  <c r="W88" i="9"/>
  <c r="W90" i="9"/>
  <c r="W92" i="9"/>
  <c r="W94" i="9"/>
  <c r="W96" i="9"/>
  <c r="W99" i="9"/>
  <c r="R34" i="37"/>
  <c r="G27" i="25" l="1"/>
  <c r="G26" i="25"/>
  <c r="G25" i="25"/>
  <c r="G11" i="25"/>
  <c r="G8" i="25"/>
  <c r="G103" i="25"/>
  <c r="G104" i="25" s="1"/>
  <c r="G83" i="25"/>
  <c r="G30" i="25"/>
  <c r="E26" i="24"/>
  <c r="E25" i="24"/>
  <c r="E24" i="24"/>
  <c r="E10" i="24"/>
  <c r="E8" i="24"/>
  <c r="D29" i="21"/>
  <c r="D28" i="21"/>
  <c r="D27" i="21"/>
  <c r="D14" i="21"/>
  <c r="D13" i="21"/>
  <c r="D12" i="21"/>
  <c r="D8" i="21"/>
  <c r="E55" i="19"/>
  <c r="E62" i="19"/>
  <c r="E63" i="19" s="1"/>
  <c r="E61" i="19"/>
  <c r="E31" i="19"/>
  <c r="E28" i="19"/>
  <c r="E27" i="19"/>
  <c r="E26" i="19"/>
  <c r="E11" i="19"/>
  <c r="E8" i="19"/>
  <c r="E27" i="20"/>
  <c r="E28" i="20"/>
  <c r="E26" i="20"/>
  <c r="E13" i="20"/>
  <c r="E12" i="20"/>
  <c r="E11" i="20"/>
  <c r="E8" i="20"/>
  <c r="D29" i="18"/>
  <c r="D28" i="18"/>
  <c r="D27" i="18"/>
  <c r="D12" i="18"/>
  <c r="D9" i="18"/>
  <c r="N8" i="8"/>
  <c r="E26" i="8"/>
  <c r="E87" i="8" s="1"/>
  <c r="E22" i="8"/>
  <c r="E21" i="8"/>
  <c r="E20" i="8"/>
  <c r="E12" i="8"/>
  <c r="E11" i="8"/>
  <c r="E10" i="8"/>
  <c r="E8" i="8"/>
  <c r="F62" i="41"/>
  <c r="F61" i="41"/>
  <c r="F60" i="41"/>
  <c r="F58" i="41"/>
  <c r="F67" i="41" s="1"/>
  <c r="F57" i="41"/>
  <c r="F56" i="41"/>
  <c r="F30" i="4"/>
  <c r="F29" i="4"/>
  <c r="F28" i="4"/>
  <c r="D28" i="4"/>
  <c r="D71" i="21"/>
  <c r="J71" i="21" s="1"/>
  <c r="F105" i="22"/>
  <c r="F106" i="22" s="1"/>
  <c r="F98" i="22"/>
  <c r="F88" i="22"/>
  <c r="F33" i="22"/>
  <c r="W86" i="24"/>
  <c r="AC83" i="24"/>
  <c r="N83" i="24"/>
  <c r="K83" i="24"/>
  <c r="M83" i="24" s="1"/>
  <c r="K84" i="24"/>
  <c r="K85" i="24"/>
  <c r="K86" i="24"/>
  <c r="E89" i="24"/>
  <c r="E90" i="24" s="1"/>
  <c r="E76" i="24"/>
  <c r="E69" i="24"/>
  <c r="E35" i="37"/>
  <c r="K35" i="37"/>
  <c r="M35" i="37"/>
  <c r="N35" i="37"/>
  <c r="P35" i="37"/>
  <c r="Q35" i="37"/>
  <c r="R35" i="37"/>
  <c r="S35" i="37"/>
  <c r="T35" i="37"/>
  <c r="U35" i="37"/>
  <c r="V35" i="37"/>
  <c r="X35" i="37"/>
  <c r="C35" i="37"/>
  <c r="H33" i="37"/>
  <c r="I33" i="37"/>
  <c r="J33" i="37"/>
  <c r="W33" i="37"/>
  <c r="Y33" i="37" s="1"/>
  <c r="E36" i="37"/>
  <c r="D123" i="29"/>
  <c r="D124" i="29" s="1"/>
  <c r="D122" i="29"/>
  <c r="L89" i="29"/>
  <c r="M89" i="29"/>
  <c r="J89" i="29"/>
  <c r="J90" i="29"/>
  <c r="J91" i="29"/>
  <c r="J92" i="29"/>
  <c r="D89" i="29"/>
  <c r="J77" i="21"/>
  <c r="J75" i="21"/>
  <c r="J74" i="21"/>
  <c r="J72" i="21"/>
  <c r="J70" i="21"/>
  <c r="J69" i="21"/>
  <c r="J68" i="21"/>
  <c r="J64" i="21"/>
  <c r="J63" i="21"/>
  <c r="J61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39" i="21"/>
  <c r="J38" i="21"/>
  <c r="J37" i="21"/>
  <c r="D65" i="21"/>
  <c r="D57" i="21"/>
  <c r="D61" i="19"/>
  <c r="D55" i="19"/>
  <c r="D49" i="19"/>
  <c r="D31" i="19"/>
  <c r="E78" i="20"/>
  <c r="E77" i="20"/>
  <c r="E69" i="20"/>
  <c r="E58" i="20"/>
  <c r="D61" i="18"/>
  <c r="D60" i="18"/>
  <c r="D53" i="18"/>
  <c r="D49" i="18"/>
  <c r="E53" i="18"/>
  <c r="F53" i="18"/>
  <c r="G53" i="18"/>
  <c r="E100" i="9"/>
  <c r="E99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79" i="9"/>
  <c r="E78" i="9"/>
  <c r="E77" i="9"/>
  <c r="E76" i="9"/>
  <c r="E75" i="9"/>
  <c r="E74" i="9"/>
  <c r="E73" i="9"/>
  <c r="E72" i="9"/>
  <c r="E71" i="9"/>
  <c r="E70" i="9"/>
  <c r="E67" i="9"/>
  <c r="E18" i="9"/>
  <c r="F18" i="9" s="1"/>
  <c r="E10" i="9"/>
  <c r="F10" i="9" s="1"/>
  <c r="E12" i="9"/>
  <c r="F12" i="9" s="1"/>
  <c r="E13" i="9"/>
  <c r="F13" i="9" s="1"/>
  <c r="E14" i="9"/>
  <c r="F14" i="9" s="1"/>
  <c r="E15" i="9"/>
  <c r="F15" i="9" s="1"/>
  <c r="E16" i="9"/>
  <c r="F16" i="9" s="1"/>
  <c r="E17" i="9"/>
  <c r="F17" i="9" s="1"/>
  <c r="E22" i="9"/>
  <c r="F22" i="9" s="1"/>
  <c r="E24" i="9"/>
  <c r="F24" i="9" s="1"/>
  <c r="E25" i="9"/>
  <c r="F25" i="9" s="1"/>
  <c r="E28" i="9"/>
  <c r="F28" i="9" s="1"/>
  <c r="E29" i="9"/>
  <c r="F29" i="9" s="1"/>
  <c r="E30" i="9"/>
  <c r="F30" i="9" s="1"/>
  <c r="E31" i="9"/>
  <c r="F31" i="9" s="1"/>
  <c r="E32" i="9"/>
  <c r="F32" i="9" s="1"/>
  <c r="E33" i="9"/>
  <c r="F33" i="9" s="1"/>
  <c r="E34" i="9"/>
  <c r="F34" i="9" s="1"/>
  <c r="E35" i="9"/>
  <c r="F35" i="9" s="1"/>
  <c r="E36" i="9"/>
  <c r="F36" i="9" s="1"/>
  <c r="E37" i="9"/>
  <c r="F37" i="9" s="1"/>
  <c r="E38" i="9"/>
  <c r="F38" i="9" s="1"/>
  <c r="E39" i="9"/>
  <c r="F39" i="9" s="1"/>
  <c r="E40" i="9"/>
  <c r="F40" i="9" s="1"/>
  <c r="E41" i="9"/>
  <c r="F41" i="9" s="1"/>
  <c r="E42" i="9"/>
  <c r="F42" i="9" s="1"/>
  <c r="E43" i="9"/>
  <c r="F43" i="9" s="1"/>
  <c r="E44" i="9"/>
  <c r="F44" i="9" s="1"/>
  <c r="E45" i="9"/>
  <c r="F45" i="9" s="1"/>
  <c r="E46" i="9"/>
  <c r="F46" i="9" s="1"/>
  <c r="E47" i="9"/>
  <c r="F47" i="9" s="1"/>
  <c r="E48" i="9"/>
  <c r="F48" i="9" s="1"/>
  <c r="E49" i="9"/>
  <c r="F49" i="9" s="1"/>
  <c r="E50" i="9"/>
  <c r="F50" i="9" s="1"/>
  <c r="E51" i="9"/>
  <c r="F51" i="9" s="1"/>
  <c r="E52" i="9"/>
  <c r="F52" i="9" s="1"/>
  <c r="E53" i="9"/>
  <c r="F53" i="9" s="1"/>
  <c r="E54" i="9"/>
  <c r="F54" i="9" s="1"/>
  <c r="E55" i="9"/>
  <c r="F55" i="9" s="1"/>
  <c r="E56" i="9"/>
  <c r="F56" i="9" s="1"/>
  <c r="E57" i="9"/>
  <c r="F57" i="9" s="1"/>
  <c r="E58" i="9"/>
  <c r="F58" i="9" s="1"/>
  <c r="E59" i="9"/>
  <c r="F59" i="9" s="1"/>
  <c r="E60" i="9"/>
  <c r="F60" i="9" s="1"/>
  <c r="E61" i="9"/>
  <c r="F61" i="9" s="1"/>
  <c r="E62" i="9"/>
  <c r="F62" i="9" s="1"/>
  <c r="E63" i="9"/>
  <c r="F63" i="9" s="1"/>
  <c r="E64" i="9"/>
  <c r="F64" i="9" s="1"/>
  <c r="D101" i="9"/>
  <c r="D80" i="9"/>
  <c r="D65" i="9"/>
  <c r="D76" i="41"/>
  <c r="F76" i="41"/>
  <c r="G76" i="41"/>
  <c r="H76" i="41"/>
  <c r="I76" i="41"/>
  <c r="J76" i="41"/>
  <c r="K76" i="41"/>
  <c r="L76" i="41"/>
  <c r="M76" i="41"/>
  <c r="N76" i="41"/>
  <c r="O76" i="41"/>
  <c r="P76" i="41"/>
  <c r="Q76" i="41"/>
  <c r="R76" i="41"/>
  <c r="S76" i="41"/>
  <c r="T76" i="41"/>
  <c r="U76" i="41"/>
  <c r="V76" i="41"/>
  <c r="W76" i="41"/>
  <c r="X76" i="41"/>
  <c r="Y76" i="41"/>
  <c r="Z76" i="41"/>
  <c r="C76" i="41"/>
  <c r="G75" i="41"/>
  <c r="G74" i="41"/>
  <c r="H74" i="41" s="1"/>
  <c r="G73" i="41"/>
  <c r="G72" i="41"/>
  <c r="G71" i="41"/>
  <c r="G70" i="41"/>
  <c r="G12" i="41"/>
  <c r="G13" i="41"/>
  <c r="G14" i="41"/>
  <c r="G15" i="41"/>
  <c r="G16" i="41"/>
  <c r="G17" i="41"/>
  <c r="G18" i="41"/>
  <c r="G19" i="41"/>
  <c r="G20" i="41"/>
  <c r="G21" i="41"/>
  <c r="G22" i="41"/>
  <c r="G23" i="41"/>
  <c r="G24" i="41"/>
  <c r="G25" i="41"/>
  <c r="G26" i="41"/>
  <c r="G27" i="41"/>
  <c r="G28" i="41"/>
  <c r="G29" i="41"/>
  <c r="G30" i="41"/>
  <c r="G31" i="41"/>
  <c r="G32" i="41"/>
  <c r="G33" i="41"/>
  <c r="G34" i="41"/>
  <c r="G35" i="41"/>
  <c r="G36" i="41"/>
  <c r="G37" i="41"/>
  <c r="G38" i="41"/>
  <c r="G39" i="41"/>
  <c r="G40" i="41"/>
  <c r="G41" i="41"/>
  <c r="H42" i="41"/>
  <c r="G43" i="41"/>
  <c r="G44" i="41"/>
  <c r="H44" i="41" s="1"/>
  <c r="G45" i="41"/>
  <c r="G46" i="41"/>
  <c r="G47" i="41"/>
  <c r="G48" i="41"/>
  <c r="H48" i="41" s="1"/>
  <c r="G49" i="41"/>
  <c r="G50" i="41"/>
  <c r="G51" i="41"/>
  <c r="G52" i="41"/>
  <c r="G53" i="41"/>
  <c r="G54" i="41"/>
  <c r="G55" i="41"/>
  <c r="G56" i="41"/>
  <c r="G57" i="41"/>
  <c r="G58" i="41"/>
  <c r="G59" i="41"/>
  <c r="G60" i="41"/>
  <c r="G61" i="41"/>
  <c r="G62" i="41"/>
  <c r="G63" i="41"/>
  <c r="G64" i="41"/>
  <c r="G65" i="41"/>
  <c r="G66" i="41"/>
  <c r="G11" i="41"/>
  <c r="I74" i="41"/>
  <c r="L74" i="41"/>
  <c r="AA74" i="41"/>
  <c r="F16" i="4"/>
  <c r="D13" i="4"/>
  <c r="D16" i="4"/>
  <c r="D10" i="4"/>
  <c r="D25" i="4" s="1"/>
  <c r="D31" i="4"/>
  <c r="K27" i="2"/>
  <c r="D27" i="2"/>
  <c r="D29" i="2" s="1"/>
  <c r="D139" i="2"/>
  <c r="D138" i="2"/>
  <c r="D124" i="2"/>
  <c r="D96" i="2"/>
  <c r="D91" i="2"/>
  <c r="D102" i="9" l="1"/>
  <c r="G105" i="25"/>
  <c r="E29" i="24"/>
  <c r="E91" i="24" s="1"/>
  <c r="AD83" i="24"/>
  <c r="AE83" i="24"/>
  <c r="D32" i="21"/>
  <c r="D62" i="19"/>
  <c r="E31" i="20"/>
  <c r="E79" i="20" s="1"/>
  <c r="D32" i="18"/>
  <c r="D62" i="18" s="1"/>
  <c r="D78" i="21"/>
  <c r="D79" i="21" s="1"/>
  <c r="F107" i="22"/>
  <c r="Z33" i="37"/>
  <c r="AA33" i="37"/>
  <c r="AB89" i="29"/>
  <c r="AD89" i="29" s="1"/>
  <c r="D63" i="19"/>
  <c r="D103" i="9"/>
  <c r="AC74" i="41"/>
  <c r="AB74" i="41"/>
  <c r="F78" i="41"/>
  <c r="D32" i="4"/>
  <c r="D140" i="2"/>
  <c r="D80" i="21" l="1"/>
  <c r="AC89" i="29"/>
  <c r="Z25" i="23" l="1"/>
  <c r="Z26" i="23"/>
  <c r="Z27" i="23"/>
  <c r="Z28" i="23"/>
  <c r="Z29" i="23"/>
  <c r="D113" i="42"/>
  <c r="E113" i="42"/>
  <c r="F113" i="42"/>
  <c r="G113" i="42"/>
  <c r="H113" i="42"/>
  <c r="I113" i="42"/>
  <c r="J113" i="42"/>
  <c r="K113" i="42"/>
  <c r="L113" i="42"/>
  <c r="M113" i="42"/>
  <c r="N113" i="42"/>
  <c r="O113" i="42"/>
  <c r="P113" i="42"/>
  <c r="Q113" i="42"/>
  <c r="S113" i="42"/>
  <c r="T113" i="42"/>
  <c r="D112" i="42"/>
  <c r="E112" i="42"/>
  <c r="F112" i="42"/>
  <c r="G112" i="42"/>
  <c r="H112" i="42"/>
  <c r="I112" i="42"/>
  <c r="J112" i="42"/>
  <c r="K112" i="42"/>
  <c r="L112" i="42"/>
  <c r="M112" i="42"/>
  <c r="N112" i="42"/>
  <c r="O112" i="42"/>
  <c r="P112" i="42"/>
  <c r="Q112" i="42"/>
  <c r="R112" i="42"/>
  <c r="R113" i="42" s="1"/>
  <c r="S112" i="42"/>
  <c r="T112" i="42"/>
  <c r="U112" i="42"/>
  <c r="U113" i="42" s="1"/>
  <c r="V112" i="42"/>
  <c r="V113" i="42" s="1"/>
  <c r="W63" i="42"/>
  <c r="Y63" i="42" s="1"/>
  <c r="W64" i="42"/>
  <c r="X64" i="42" s="1"/>
  <c r="W65" i="42"/>
  <c r="W66" i="42"/>
  <c r="W67" i="42"/>
  <c r="Y67" i="42" s="1"/>
  <c r="W68" i="42"/>
  <c r="X68" i="42" s="1"/>
  <c r="W69" i="42"/>
  <c r="W70" i="42"/>
  <c r="W71" i="42"/>
  <c r="Y71" i="42" s="1"/>
  <c r="X71" i="42"/>
  <c r="W72" i="42"/>
  <c r="X72" i="42" s="1"/>
  <c r="W73" i="42"/>
  <c r="W74" i="42"/>
  <c r="W75" i="42"/>
  <c r="Y75" i="42" s="1"/>
  <c r="W76" i="42"/>
  <c r="X76" i="42" s="1"/>
  <c r="W77" i="42"/>
  <c r="W78" i="42"/>
  <c r="W79" i="42"/>
  <c r="Y79" i="42" s="1"/>
  <c r="W80" i="42"/>
  <c r="X80" i="42" s="1"/>
  <c r="W81" i="42"/>
  <c r="W82" i="42"/>
  <c r="W83" i="42"/>
  <c r="W84" i="42"/>
  <c r="X84" i="42" s="1"/>
  <c r="W85" i="42"/>
  <c r="W86" i="42"/>
  <c r="W87" i="42"/>
  <c r="Y87" i="42" s="1"/>
  <c r="X87" i="42"/>
  <c r="W88" i="42"/>
  <c r="X88" i="42" s="1"/>
  <c r="W89" i="42"/>
  <c r="W90" i="42"/>
  <c r="W91" i="42"/>
  <c r="Y91" i="42" s="1"/>
  <c r="X91" i="42"/>
  <c r="W92" i="42"/>
  <c r="X92" i="42" s="1"/>
  <c r="W93" i="42"/>
  <c r="W94" i="42"/>
  <c r="W95" i="42"/>
  <c r="W96" i="42"/>
  <c r="X96" i="42" s="1"/>
  <c r="W97" i="42"/>
  <c r="W98" i="42"/>
  <c r="W99" i="42"/>
  <c r="W100" i="42"/>
  <c r="X100" i="42" s="1"/>
  <c r="W101" i="42"/>
  <c r="W102" i="42"/>
  <c r="W103" i="42"/>
  <c r="H63" i="42"/>
  <c r="H64" i="42"/>
  <c r="H65" i="42"/>
  <c r="H66" i="42"/>
  <c r="H67" i="42"/>
  <c r="H68" i="42"/>
  <c r="H69" i="42"/>
  <c r="H70" i="42"/>
  <c r="H71" i="42"/>
  <c r="H72" i="42"/>
  <c r="H73" i="42"/>
  <c r="H74" i="42"/>
  <c r="H75" i="42"/>
  <c r="H76" i="42"/>
  <c r="H77" i="42"/>
  <c r="H78" i="42"/>
  <c r="H79" i="42"/>
  <c r="H80" i="42"/>
  <c r="H81" i="42"/>
  <c r="H82" i="42"/>
  <c r="H83" i="42"/>
  <c r="H84" i="42"/>
  <c r="H85" i="42"/>
  <c r="H86" i="42"/>
  <c r="H87" i="42"/>
  <c r="H88" i="42"/>
  <c r="H89" i="42"/>
  <c r="H90" i="42"/>
  <c r="H91" i="42"/>
  <c r="H92" i="42"/>
  <c r="H93" i="42"/>
  <c r="H94" i="42"/>
  <c r="H95" i="42"/>
  <c r="H96" i="42"/>
  <c r="H97" i="42"/>
  <c r="H98" i="42"/>
  <c r="H99" i="42"/>
  <c r="H100" i="42"/>
  <c r="H101" i="42"/>
  <c r="H102" i="42"/>
  <c r="H103" i="42"/>
  <c r="H104" i="42"/>
  <c r="G63" i="42"/>
  <c r="G64" i="42"/>
  <c r="G65" i="42"/>
  <c r="G66" i="42"/>
  <c r="G67" i="42"/>
  <c r="G68" i="42"/>
  <c r="G69" i="42"/>
  <c r="G70" i="42"/>
  <c r="G71" i="42"/>
  <c r="G72" i="42"/>
  <c r="G73" i="42"/>
  <c r="G74" i="42"/>
  <c r="G75" i="42"/>
  <c r="G76" i="42"/>
  <c r="G77" i="42"/>
  <c r="G78" i="42"/>
  <c r="G79" i="42"/>
  <c r="G80" i="42"/>
  <c r="G81" i="42"/>
  <c r="G82" i="42"/>
  <c r="G83" i="42"/>
  <c r="G84" i="42"/>
  <c r="G85" i="42"/>
  <c r="G86" i="42"/>
  <c r="G87" i="42"/>
  <c r="G88" i="42"/>
  <c r="G89" i="42"/>
  <c r="G90" i="42"/>
  <c r="G91" i="42"/>
  <c r="G92" i="42"/>
  <c r="G93" i="42"/>
  <c r="G94" i="42"/>
  <c r="G95" i="42"/>
  <c r="G96" i="42"/>
  <c r="G97" i="42"/>
  <c r="G98" i="42"/>
  <c r="G99" i="42"/>
  <c r="G100" i="42"/>
  <c r="E63" i="42"/>
  <c r="E64" i="42"/>
  <c r="E65" i="42"/>
  <c r="E66" i="42"/>
  <c r="E67" i="42"/>
  <c r="E68" i="42"/>
  <c r="E69" i="42"/>
  <c r="E70" i="42"/>
  <c r="E71" i="42"/>
  <c r="E72" i="42"/>
  <c r="E73" i="42"/>
  <c r="E74" i="42"/>
  <c r="E75" i="42"/>
  <c r="E76" i="42"/>
  <c r="E77" i="42"/>
  <c r="E78" i="42"/>
  <c r="E79" i="42"/>
  <c r="E80" i="42"/>
  <c r="E81" i="42"/>
  <c r="E82" i="42"/>
  <c r="E83" i="42"/>
  <c r="E84" i="42"/>
  <c r="E85" i="42"/>
  <c r="E86" i="42"/>
  <c r="E87" i="42"/>
  <c r="E88" i="42"/>
  <c r="E89" i="42"/>
  <c r="E90" i="42"/>
  <c r="E91" i="42"/>
  <c r="E92" i="42"/>
  <c r="E93" i="42"/>
  <c r="E94" i="42"/>
  <c r="E95" i="42"/>
  <c r="E96" i="42"/>
  <c r="E97" i="42"/>
  <c r="E98" i="42"/>
  <c r="E99" i="42"/>
  <c r="E100" i="42"/>
  <c r="E101" i="42"/>
  <c r="E102" i="42"/>
  <c r="E103" i="42"/>
  <c r="E104" i="42"/>
  <c r="E105" i="42"/>
  <c r="E106" i="42"/>
  <c r="E107" i="42"/>
  <c r="E108" i="42"/>
  <c r="E109" i="42"/>
  <c r="E110" i="42"/>
  <c r="E111" i="42"/>
  <c r="F12" i="42"/>
  <c r="F13" i="42"/>
  <c r="F14" i="42"/>
  <c r="F15" i="42"/>
  <c r="F16" i="42"/>
  <c r="F17" i="42"/>
  <c r="F18" i="42"/>
  <c r="F19" i="42"/>
  <c r="F20" i="42"/>
  <c r="F21" i="42"/>
  <c r="F22" i="42"/>
  <c r="F23" i="42"/>
  <c r="F24" i="42"/>
  <c r="F25" i="42"/>
  <c r="F26" i="42"/>
  <c r="F27" i="42"/>
  <c r="F28" i="42"/>
  <c r="F29" i="42"/>
  <c r="F30" i="42"/>
  <c r="F31" i="42"/>
  <c r="F32" i="42"/>
  <c r="F33" i="42"/>
  <c r="F34" i="42"/>
  <c r="F35" i="42"/>
  <c r="F36" i="42"/>
  <c r="F37" i="42"/>
  <c r="F38" i="42"/>
  <c r="F39" i="42"/>
  <c r="F40" i="42"/>
  <c r="F41" i="42"/>
  <c r="F42" i="42"/>
  <c r="F43" i="42"/>
  <c r="F44" i="42"/>
  <c r="F45" i="42"/>
  <c r="F46" i="42"/>
  <c r="F47" i="42"/>
  <c r="F48" i="42"/>
  <c r="F49" i="42"/>
  <c r="F50" i="42"/>
  <c r="F51" i="42"/>
  <c r="F52" i="42"/>
  <c r="F53" i="42"/>
  <c r="F54" i="42"/>
  <c r="F55" i="42"/>
  <c r="F56" i="42"/>
  <c r="F57" i="42"/>
  <c r="F58" i="42"/>
  <c r="F59" i="42"/>
  <c r="F60" i="42"/>
  <c r="F61" i="42"/>
  <c r="F62" i="42"/>
  <c r="F63" i="42"/>
  <c r="F64" i="42"/>
  <c r="F65" i="42"/>
  <c r="F66" i="42"/>
  <c r="F67" i="42"/>
  <c r="F68" i="42"/>
  <c r="F69" i="42"/>
  <c r="F70" i="42"/>
  <c r="F71" i="42"/>
  <c r="F72" i="42"/>
  <c r="F73" i="42"/>
  <c r="F74" i="42"/>
  <c r="F75" i="42"/>
  <c r="F76" i="42"/>
  <c r="F77" i="42"/>
  <c r="F78" i="42"/>
  <c r="F79" i="42"/>
  <c r="F80" i="42"/>
  <c r="F81" i="42"/>
  <c r="F82" i="42"/>
  <c r="F83" i="42"/>
  <c r="F84" i="42"/>
  <c r="F85" i="42"/>
  <c r="F86" i="42"/>
  <c r="F87" i="42"/>
  <c r="F88" i="42"/>
  <c r="F89" i="42"/>
  <c r="F90" i="42"/>
  <c r="F91" i="42"/>
  <c r="F92" i="42"/>
  <c r="F93" i="42"/>
  <c r="F94" i="42"/>
  <c r="F95" i="42"/>
  <c r="F96" i="42"/>
  <c r="F97" i="42"/>
  <c r="F98" i="42"/>
  <c r="F99" i="42"/>
  <c r="F100" i="42"/>
  <c r="F101" i="42"/>
  <c r="F102" i="42"/>
  <c r="F103" i="42"/>
  <c r="F104" i="42"/>
  <c r="F105" i="42"/>
  <c r="F106" i="42"/>
  <c r="F107" i="42"/>
  <c r="F108" i="42"/>
  <c r="F109" i="42"/>
  <c r="F110" i="42"/>
  <c r="F111" i="42"/>
  <c r="F11" i="42"/>
  <c r="C112" i="42"/>
  <c r="D45" i="42"/>
  <c r="D65" i="42"/>
  <c r="D64" i="42"/>
  <c r="E12" i="42"/>
  <c r="E13" i="42"/>
  <c r="E14" i="42"/>
  <c r="E15" i="42"/>
  <c r="E16" i="42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30" i="42"/>
  <c r="E31" i="42"/>
  <c r="E32" i="42"/>
  <c r="E33" i="42"/>
  <c r="E34" i="42"/>
  <c r="E35" i="42"/>
  <c r="E36" i="42"/>
  <c r="E37" i="42"/>
  <c r="E38" i="42"/>
  <c r="E39" i="42"/>
  <c r="E40" i="42"/>
  <c r="E43" i="42"/>
  <c r="E44" i="42"/>
  <c r="E45" i="42"/>
  <c r="E47" i="42"/>
  <c r="E51" i="42"/>
  <c r="E52" i="42"/>
  <c r="E53" i="42"/>
  <c r="E54" i="42"/>
  <c r="E55" i="42"/>
  <c r="E56" i="42"/>
  <c r="E57" i="42"/>
  <c r="E58" i="42"/>
  <c r="E59" i="42"/>
  <c r="E60" i="42"/>
  <c r="E61" i="42"/>
  <c r="E62" i="42"/>
  <c r="E11" i="42"/>
  <c r="D50" i="42"/>
  <c r="E50" i="42" s="1"/>
  <c r="D49" i="42"/>
  <c r="E49" i="42" s="1"/>
  <c r="D48" i="42"/>
  <c r="E48" i="42" s="1"/>
  <c r="D47" i="42"/>
  <c r="D46" i="42"/>
  <c r="E46" i="42" s="1"/>
  <c r="D44" i="42"/>
  <c r="D42" i="42"/>
  <c r="E42" i="42" s="1"/>
  <c r="D41" i="42"/>
  <c r="E41" i="42" s="1"/>
  <c r="D40" i="42"/>
  <c r="X75" i="42" l="1"/>
  <c r="X67" i="42"/>
  <c r="X79" i="42"/>
  <c r="X63" i="42"/>
  <c r="AB28" i="23"/>
  <c r="AB27" i="23"/>
  <c r="AB26" i="23"/>
  <c r="AB29" i="23"/>
  <c r="AB25" i="23"/>
  <c r="Y99" i="42"/>
  <c r="X99" i="42"/>
  <c r="X89" i="42"/>
  <c r="Y89" i="42"/>
  <c r="Y83" i="42"/>
  <c r="X83" i="42"/>
  <c r="X65" i="42"/>
  <c r="Y65" i="42"/>
  <c r="Y102" i="42"/>
  <c r="X102" i="42"/>
  <c r="Y95" i="42"/>
  <c r="X95" i="42"/>
  <c r="X93" i="42"/>
  <c r="Y93" i="42"/>
  <c r="X86" i="42"/>
  <c r="Y86" i="42"/>
  <c r="X78" i="42"/>
  <c r="Y78" i="42"/>
  <c r="X69" i="42"/>
  <c r="Y69" i="42"/>
  <c r="X81" i="42"/>
  <c r="Y81" i="42"/>
  <c r="X74" i="42"/>
  <c r="Y74" i="42"/>
  <c r="X101" i="42"/>
  <c r="Y101" i="42"/>
  <c r="Y98" i="42"/>
  <c r="X98" i="42"/>
  <c r="X90" i="42"/>
  <c r="Y90" i="42"/>
  <c r="Y82" i="42"/>
  <c r="X82" i="42"/>
  <c r="X73" i="42"/>
  <c r="Y73" i="42"/>
  <c r="X66" i="42"/>
  <c r="Y66" i="42"/>
  <c r="Y103" i="42"/>
  <c r="X103" i="42"/>
  <c r="X97" i="42"/>
  <c r="Y97" i="42"/>
  <c r="Y94" i="42"/>
  <c r="X94" i="42"/>
  <c r="X85" i="42"/>
  <c r="Y85" i="42"/>
  <c r="X77" i="42"/>
  <c r="Y77" i="42"/>
  <c r="X70" i="42"/>
  <c r="Y70" i="42"/>
  <c r="Y100" i="42"/>
  <c r="Y96" i="42"/>
  <c r="Y92" i="42"/>
  <c r="Y88" i="42"/>
  <c r="Y84" i="42"/>
  <c r="Y80" i="42"/>
  <c r="Y76" i="42"/>
  <c r="Y72" i="42"/>
  <c r="Y68" i="42"/>
  <c r="Y64" i="42"/>
  <c r="W72" i="24" l="1"/>
  <c r="W68" i="24"/>
  <c r="X45" i="22"/>
  <c r="X58" i="20"/>
  <c r="U36" i="17"/>
  <c r="S47" i="14"/>
  <c r="S21" i="13"/>
  <c r="AB50" i="8"/>
  <c r="AB51" i="8"/>
  <c r="R33" i="40" l="1"/>
  <c r="V44" i="39"/>
  <c r="V80" i="2" l="1"/>
  <c r="V70" i="2"/>
  <c r="V52" i="2"/>
  <c r="T27" i="2" l="1"/>
  <c r="I56" i="16" l="1"/>
  <c r="AA115" i="16"/>
  <c r="Z115" i="16"/>
  <c r="Z114" i="16"/>
  <c r="Z113" i="16"/>
  <c r="Z112" i="16"/>
  <c r="Z111" i="16"/>
  <c r="Z110" i="16"/>
  <c r="Z109" i="16"/>
  <c r="Z108" i="16"/>
  <c r="Z107" i="16"/>
  <c r="S104" i="16"/>
  <c r="T41" i="29"/>
  <c r="V109" i="29"/>
  <c r="U97" i="29"/>
  <c r="V59" i="29" l="1"/>
  <c r="U19" i="45"/>
  <c r="S90" i="26"/>
  <c r="V32" i="30"/>
  <c r="V82" i="29"/>
  <c r="V111" i="29"/>
  <c r="V88" i="29"/>
  <c r="V108" i="29"/>
  <c r="Z40" i="25"/>
  <c r="W107" i="24"/>
  <c r="W85" i="24"/>
  <c r="T94" i="23"/>
  <c r="T36" i="16" l="1"/>
  <c r="V32" i="39"/>
  <c r="V33" i="39"/>
  <c r="S57" i="13"/>
  <c r="Q67" i="9"/>
  <c r="W89" i="2"/>
  <c r="W83" i="2"/>
  <c r="W11" i="37" l="1"/>
  <c r="W12" i="37"/>
  <c r="W14" i="37"/>
  <c r="W15" i="37"/>
  <c r="W16" i="37"/>
  <c r="W18" i="37"/>
  <c r="W19" i="37"/>
  <c r="W20" i="37"/>
  <c r="W21" i="37"/>
  <c r="W24" i="37"/>
  <c r="W25" i="37"/>
  <c r="W26" i="37"/>
  <c r="W27" i="37"/>
  <c r="W28" i="37"/>
  <c r="W30" i="37"/>
  <c r="W31" i="37"/>
  <c r="W32" i="37"/>
  <c r="W9" i="37"/>
  <c r="U9" i="36"/>
  <c r="X143" i="26" l="1"/>
  <c r="W143" i="26"/>
  <c r="I14" i="23" l="1"/>
  <c r="O55" i="22"/>
  <c r="AE55" i="22" s="1"/>
  <c r="AA34" i="21"/>
  <c r="Z34" i="21"/>
  <c r="X66" i="16"/>
  <c r="X9" i="16"/>
  <c r="Y9" i="16"/>
  <c r="AA35" i="30" l="1"/>
  <c r="Z35" i="30"/>
  <c r="W20" i="44"/>
  <c r="V20" i="44"/>
  <c r="AA57" i="39" l="1"/>
  <c r="Z57" i="39"/>
  <c r="V19" i="7" l="1"/>
  <c r="V13" i="7"/>
  <c r="W19" i="7"/>
  <c r="W18" i="7"/>
  <c r="V18" i="7"/>
  <c r="W16" i="7"/>
  <c r="V16" i="7"/>
  <c r="V10" i="7"/>
  <c r="W10" i="7"/>
  <c r="V11" i="7"/>
  <c r="W11" i="7"/>
  <c r="V12" i="7"/>
  <c r="W12" i="7"/>
  <c r="W13" i="7"/>
  <c r="W9" i="7"/>
  <c r="L13" i="2"/>
  <c r="L14" i="2"/>
  <c r="K8" i="2"/>
  <c r="M8" i="2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8" i="14"/>
  <c r="T28" i="45" l="1"/>
  <c r="H177" i="22"/>
  <c r="H178" i="22" s="1"/>
  <c r="AB69" i="24" l="1"/>
  <c r="D67" i="41" l="1"/>
  <c r="D78" i="41" l="1"/>
  <c r="E134" i="23"/>
  <c r="W77" i="22"/>
  <c r="AB77" i="22" s="1"/>
  <c r="W58" i="22"/>
  <c r="AB58" i="22" s="1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99" i="16"/>
  <c r="H98" i="16"/>
  <c r="H97" i="16"/>
  <c r="H96" i="16"/>
  <c r="H74" i="16"/>
  <c r="H73" i="16"/>
  <c r="H72" i="16"/>
  <c r="H71" i="16"/>
  <c r="H70" i="16"/>
  <c r="H69" i="16"/>
  <c r="H65" i="16"/>
  <c r="H64" i="16"/>
  <c r="H63" i="16"/>
  <c r="H62" i="16"/>
  <c r="H61" i="16"/>
  <c r="H60" i="16"/>
  <c r="H59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8" i="16"/>
  <c r="E36" i="16"/>
  <c r="H29" i="39"/>
  <c r="D8" i="14"/>
  <c r="D60" i="13"/>
  <c r="D61" i="13" s="1"/>
  <c r="D62" i="13" s="1"/>
  <c r="D53" i="13"/>
  <c r="D42" i="13"/>
  <c r="G9" i="13"/>
  <c r="F35" i="10"/>
  <c r="F47" i="10" s="1"/>
  <c r="F46" i="10"/>
  <c r="D18" i="12"/>
  <c r="D24" i="12"/>
  <c r="D25" i="12" s="1"/>
  <c r="H137" i="24"/>
  <c r="H138" i="24" s="1"/>
  <c r="D66" i="39"/>
  <c r="D67" i="39" s="1"/>
  <c r="D57" i="39"/>
  <c r="D44" i="39"/>
  <c r="D26" i="39"/>
  <c r="H88" i="22"/>
  <c r="H98" i="22"/>
  <c r="H106" i="22"/>
  <c r="H105" i="22"/>
  <c r="G177" i="22"/>
  <c r="G178" i="22" s="1"/>
  <c r="G124" i="22"/>
  <c r="G123" i="22"/>
  <c r="G175" i="22"/>
  <c r="D68" i="39" l="1"/>
  <c r="H107" i="22"/>
  <c r="T19" i="41" l="1"/>
  <c r="P16" i="40"/>
  <c r="AC34" i="2" l="1"/>
  <c r="U36" i="21" l="1"/>
  <c r="V68" i="24" l="1"/>
  <c r="AA69" i="24" s="1"/>
  <c r="W92" i="22"/>
  <c r="AB92" i="22" s="1"/>
  <c r="T30" i="17"/>
  <c r="P15" i="33" l="1"/>
  <c r="T28" i="41"/>
  <c r="S12" i="10"/>
  <c r="S9" i="10"/>
  <c r="P18" i="9"/>
  <c r="U18" i="9" s="1"/>
  <c r="W18" i="9" s="1"/>
  <c r="T32" i="5"/>
  <c r="U32" i="5"/>
  <c r="T67" i="41" l="1"/>
  <c r="V37" i="22"/>
  <c r="AB37" i="22" s="1"/>
  <c r="R32" i="23"/>
  <c r="X32" i="25"/>
  <c r="Q8" i="14"/>
  <c r="V34" i="20"/>
  <c r="P8" i="4"/>
  <c r="K137" i="2"/>
  <c r="K136" i="2"/>
  <c r="K135" i="2"/>
  <c r="K134" i="2"/>
  <c r="K133" i="2"/>
  <c r="K132" i="2"/>
  <c r="K131" i="2"/>
  <c r="K130" i="2"/>
  <c r="K129" i="2"/>
  <c r="K128" i="2"/>
  <c r="K127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5" i="2"/>
  <c r="K94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L27" i="2"/>
  <c r="K28" i="2"/>
  <c r="I71" i="25"/>
  <c r="I72" i="25"/>
  <c r="I34" i="25"/>
  <c r="I38" i="25"/>
  <c r="I37" i="25"/>
  <c r="I32" i="25"/>
  <c r="I80" i="25"/>
  <c r="I81" i="25"/>
  <c r="N102" i="25"/>
  <c r="N101" i="25"/>
  <c r="N100" i="25"/>
  <c r="N99" i="25"/>
  <c r="N98" i="25"/>
  <c r="N97" i="25"/>
  <c r="N96" i="25"/>
  <c r="N95" i="25"/>
  <c r="N94" i="25"/>
  <c r="N93" i="25"/>
  <c r="N92" i="25"/>
  <c r="N91" i="25"/>
  <c r="N90" i="25"/>
  <c r="N89" i="25"/>
  <c r="N88" i="25"/>
  <c r="N87" i="25"/>
  <c r="N86" i="25"/>
  <c r="N82" i="25"/>
  <c r="O82" i="25" s="1"/>
  <c r="N81" i="25"/>
  <c r="O81" i="25" s="1"/>
  <c r="N80" i="25"/>
  <c r="O80" i="25" s="1"/>
  <c r="N79" i="25"/>
  <c r="O79" i="25" s="1"/>
  <c r="N78" i="25"/>
  <c r="O78" i="25" s="1"/>
  <c r="N77" i="25"/>
  <c r="O77" i="25" s="1"/>
  <c r="N76" i="25"/>
  <c r="O76" i="25" s="1"/>
  <c r="N75" i="25"/>
  <c r="O75" i="25" s="1"/>
  <c r="O74" i="25"/>
  <c r="N72" i="25"/>
  <c r="O72" i="25" s="1"/>
  <c r="N71" i="25"/>
  <c r="O71" i="25" s="1"/>
  <c r="N70" i="25"/>
  <c r="O70" i="25" s="1"/>
  <c r="N69" i="25"/>
  <c r="O69" i="25" s="1"/>
  <c r="N68" i="25"/>
  <c r="O68" i="25" s="1"/>
  <c r="N67" i="25"/>
  <c r="O67" i="25" s="1"/>
  <c r="N66" i="25"/>
  <c r="O66" i="25" s="1"/>
  <c r="N65" i="25"/>
  <c r="O65" i="25" s="1"/>
  <c r="N64" i="25"/>
  <c r="O64" i="25" s="1"/>
  <c r="N63" i="25"/>
  <c r="O63" i="25" s="1"/>
  <c r="N62" i="25"/>
  <c r="O62" i="25" s="1"/>
  <c r="N61" i="25"/>
  <c r="O61" i="25" s="1"/>
  <c r="N60" i="25"/>
  <c r="O60" i="25" s="1"/>
  <c r="N59" i="25"/>
  <c r="O59" i="25" s="1"/>
  <c r="N58" i="25"/>
  <c r="O58" i="25" s="1"/>
  <c r="N57" i="25"/>
  <c r="O57" i="25" s="1"/>
  <c r="N56" i="25"/>
  <c r="O56" i="25" s="1"/>
  <c r="N55" i="25"/>
  <c r="O55" i="25" s="1"/>
  <c r="N54" i="25"/>
  <c r="O54" i="25" s="1"/>
  <c r="N53" i="25"/>
  <c r="O53" i="25" s="1"/>
  <c r="N52" i="25"/>
  <c r="O52" i="25" s="1"/>
  <c r="N51" i="25"/>
  <c r="O51" i="25" s="1"/>
  <c r="N50" i="25"/>
  <c r="O50" i="25" s="1"/>
  <c r="N49" i="25"/>
  <c r="O49" i="25" s="1"/>
  <c r="N48" i="25"/>
  <c r="O48" i="25" s="1"/>
  <c r="N47" i="25"/>
  <c r="O47" i="25" s="1"/>
  <c r="N46" i="25"/>
  <c r="O46" i="25" s="1"/>
  <c r="N45" i="25"/>
  <c r="O45" i="25" s="1"/>
  <c r="N44" i="25"/>
  <c r="O44" i="25" s="1"/>
  <c r="N43" i="25"/>
  <c r="O43" i="25" s="1"/>
  <c r="N42" i="25"/>
  <c r="O42" i="25" s="1"/>
  <c r="N41" i="25"/>
  <c r="O41" i="25" s="1"/>
  <c r="N40" i="25"/>
  <c r="O40" i="25" s="1"/>
  <c r="N39" i="25"/>
  <c r="O39" i="25" s="1"/>
  <c r="N38" i="25"/>
  <c r="O38" i="25" s="1"/>
  <c r="N37" i="25"/>
  <c r="O37" i="25" s="1"/>
  <c r="N36" i="25"/>
  <c r="O36" i="25" s="1"/>
  <c r="N35" i="25"/>
  <c r="O35" i="25" s="1"/>
  <c r="N34" i="25"/>
  <c r="O34" i="25" s="1"/>
  <c r="N33" i="25"/>
  <c r="O33" i="25" s="1"/>
  <c r="O32" i="25"/>
  <c r="N9" i="25"/>
  <c r="O9" i="25" s="1"/>
  <c r="N10" i="25"/>
  <c r="O10" i="25" s="1"/>
  <c r="N11" i="25"/>
  <c r="O11" i="25" s="1"/>
  <c r="N12" i="25"/>
  <c r="O12" i="25" s="1"/>
  <c r="N13" i="25"/>
  <c r="O13" i="25" s="1"/>
  <c r="N14" i="25"/>
  <c r="N15" i="25"/>
  <c r="O15" i="25" s="1"/>
  <c r="N16" i="25"/>
  <c r="O16" i="25" s="1"/>
  <c r="N17" i="25"/>
  <c r="O17" i="25" s="1"/>
  <c r="N18" i="25"/>
  <c r="O18" i="25" s="1"/>
  <c r="N19" i="25"/>
  <c r="O19" i="25" s="1"/>
  <c r="N20" i="25"/>
  <c r="O20" i="25" s="1"/>
  <c r="N21" i="25"/>
  <c r="O21" i="25" s="1"/>
  <c r="N22" i="25"/>
  <c r="O22" i="25" s="1"/>
  <c r="N23" i="25"/>
  <c r="O23" i="25" s="1"/>
  <c r="N24" i="25"/>
  <c r="O24" i="25" s="1"/>
  <c r="N25" i="25"/>
  <c r="O25" i="25" s="1"/>
  <c r="N26" i="25"/>
  <c r="O26" i="25" s="1"/>
  <c r="N27" i="25"/>
  <c r="O27" i="25" s="1"/>
  <c r="N28" i="25"/>
  <c r="O28" i="25" s="1"/>
  <c r="N29" i="25"/>
  <c r="O29" i="25" s="1"/>
  <c r="N8" i="25"/>
  <c r="I103" i="25"/>
  <c r="I104" i="25" s="1"/>
  <c r="J103" i="25"/>
  <c r="J104" i="25" s="1"/>
  <c r="H93" i="25"/>
  <c r="I93" i="25"/>
  <c r="J93" i="25"/>
  <c r="I83" i="25"/>
  <c r="J83" i="25"/>
  <c r="K83" i="25"/>
  <c r="I30" i="25"/>
  <c r="J30" i="25"/>
  <c r="AB113" i="16"/>
  <c r="K113" i="16"/>
  <c r="AA113" i="16" s="1"/>
  <c r="F113" i="16"/>
  <c r="F114" i="16"/>
  <c r="F116" i="16"/>
  <c r="AB109" i="16"/>
  <c r="K109" i="16"/>
  <c r="AA109" i="16" s="1"/>
  <c r="F109" i="16"/>
  <c r="F110" i="16"/>
  <c r="Z97" i="16"/>
  <c r="AB97" i="16" s="1"/>
  <c r="Z98" i="16"/>
  <c r="K98" i="16"/>
  <c r="F97" i="16"/>
  <c r="F101" i="16"/>
  <c r="F75" i="16"/>
  <c r="F66" i="16"/>
  <c r="F76" i="16" s="1"/>
  <c r="F77" i="16" s="1"/>
  <c r="G66" i="16"/>
  <c r="F56" i="16"/>
  <c r="F30" i="16"/>
  <c r="D52" i="15"/>
  <c r="E52" i="15"/>
  <c r="D53" i="15"/>
  <c r="E53" i="15"/>
  <c r="D43" i="15"/>
  <c r="E43" i="15"/>
  <c r="F43" i="15"/>
  <c r="D25" i="15"/>
  <c r="E25" i="15"/>
  <c r="F25" i="15"/>
  <c r="E38" i="2"/>
  <c r="E91" i="2" s="1"/>
  <c r="E138" i="2"/>
  <c r="E139" i="2"/>
  <c r="E124" i="2"/>
  <c r="F124" i="2"/>
  <c r="E96" i="2"/>
  <c r="F96" i="2"/>
  <c r="E29" i="2"/>
  <c r="F29" i="2"/>
  <c r="G105" i="22"/>
  <c r="G106" i="22" s="1"/>
  <c r="G98" i="22"/>
  <c r="I98" i="22"/>
  <c r="J98" i="22"/>
  <c r="G88" i="22"/>
  <c r="I88" i="22"/>
  <c r="G33" i="22"/>
  <c r="I33" i="22"/>
  <c r="E65" i="23"/>
  <c r="E61" i="23"/>
  <c r="E66" i="23" s="1"/>
  <c r="F61" i="23"/>
  <c r="G61" i="23"/>
  <c r="E57" i="23"/>
  <c r="F57" i="23"/>
  <c r="E30" i="23"/>
  <c r="F30" i="23"/>
  <c r="G30" i="23"/>
  <c r="D30" i="32"/>
  <c r="D31" i="32"/>
  <c r="D32" i="32" s="1"/>
  <c r="D25" i="32"/>
  <c r="E25" i="32"/>
  <c r="D20" i="32"/>
  <c r="E20" i="32"/>
  <c r="H45" i="10"/>
  <c r="H44" i="10"/>
  <c r="H43" i="10"/>
  <c r="H42" i="10"/>
  <c r="H41" i="10"/>
  <c r="H40" i="10"/>
  <c r="H39" i="10"/>
  <c r="H38" i="10"/>
  <c r="H37" i="10"/>
  <c r="H36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9" i="10"/>
  <c r="F10" i="12"/>
  <c r="F11" i="12"/>
  <c r="F12" i="12"/>
  <c r="F13" i="12"/>
  <c r="F14" i="12"/>
  <c r="F15" i="12"/>
  <c r="F16" i="12"/>
  <c r="F17" i="12"/>
  <c r="F9" i="12"/>
  <c r="E9" i="33"/>
  <c r="E10" i="33"/>
  <c r="E11" i="33"/>
  <c r="E12" i="33"/>
  <c r="E13" i="33"/>
  <c r="E14" i="33"/>
  <c r="E15" i="33"/>
  <c r="E16" i="33"/>
  <c r="E17" i="33"/>
  <c r="E18" i="33"/>
  <c r="E8" i="33"/>
  <c r="D19" i="33"/>
  <c r="D20" i="33" s="1"/>
  <c r="H122" i="29"/>
  <c r="H123" i="29"/>
  <c r="H70" i="29"/>
  <c r="H47" i="29"/>
  <c r="H30" i="29"/>
  <c r="G64" i="17"/>
  <c r="D58" i="17"/>
  <c r="F58" i="17"/>
  <c r="G58" i="17"/>
  <c r="G65" i="17" s="1"/>
  <c r="G51" i="17"/>
  <c r="H51" i="17"/>
  <c r="F30" i="17"/>
  <c r="G30" i="17"/>
  <c r="I61" i="19"/>
  <c r="I55" i="19"/>
  <c r="I31" i="19"/>
  <c r="J31" i="19"/>
  <c r="K103" i="25"/>
  <c r="K93" i="25"/>
  <c r="K104" i="25" s="1"/>
  <c r="K105" i="25" s="1"/>
  <c r="L93" i="25"/>
  <c r="M93" i="25"/>
  <c r="L83" i="25"/>
  <c r="K30" i="25"/>
  <c r="L30" i="25"/>
  <c r="E55" i="14"/>
  <c r="E56" i="14" s="1"/>
  <c r="E47" i="14"/>
  <c r="F35" i="14"/>
  <c r="E9" i="14"/>
  <c r="E35" i="14" s="1"/>
  <c r="F35" i="30"/>
  <c r="G35" i="30"/>
  <c r="G36" i="30" s="1"/>
  <c r="G37" i="30" s="1"/>
  <c r="F36" i="30"/>
  <c r="F32" i="30"/>
  <c r="G32" i="30"/>
  <c r="F27" i="30"/>
  <c r="H89" i="24"/>
  <c r="H90" i="24" s="1"/>
  <c r="H76" i="24"/>
  <c r="I76" i="24"/>
  <c r="J76" i="24"/>
  <c r="H69" i="24"/>
  <c r="I69" i="24"/>
  <c r="H29" i="24"/>
  <c r="E78" i="21"/>
  <c r="E65" i="21"/>
  <c r="E79" i="21" s="1"/>
  <c r="E57" i="21"/>
  <c r="E32" i="21"/>
  <c r="D25" i="31"/>
  <c r="D26" i="31"/>
  <c r="D27" i="31" s="1"/>
  <c r="D22" i="31"/>
  <c r="D17" i="31"/>
  <c r="F11" i="4"/>
  <c r="F12" i="4"/>
  <c r="F21" i="4"/>
  <c r="F24" i="4"/>
  <c r="E31" i="4"/>
  <c r="E25" i="4"/>
  <c r="E26" i="5"/>
  <c r="E32" i="5" s="1"/>
  <c r="E33" i="5" s="1"/>
  <c r="F26" i="5"/>
  <c r="E31" i="5"/>
  <c r="E21" i="5"/>
  <c r="F21" i="5"/>
  <c r="F35" i="18"/>
  <c r="F49" i="18" s="1"/>
  <c r="F60" i="18"/>
  <c r="F61" i="18"/>
  <c r="G49" i="18"/>
  <c r="F32" i="18"/>
  <c r="I35" i="20"/>
  <c r="I77" i="20"/>
  <c r="I78" i="20" s="1"/>
  <c r="I79" i="20" s="1"/>
  <c r="J77" i="20"/>
  <c r="J78" i="20"/>
  <c r="J79" i="20" s="1"/>
  <c r="H69" i="20"/>
  <c r="I69" i="20"/>
  <c r="J69" i="20"/>
  <c r="K69" i="20"/>
  <c r="I58" i="20"/>
  <c r="J58" i="20"/>
  <c r="K58" i="20"/>
  <c r="I31" i="20"/>
  <c r="J31" i="20"/>
  <c r="K31" i="20"/>
  <c r="E98" i="16"/>
  <c r="E103" i="16"/>
  <c r="E116" i="16" s="1"/>
  <c r="E106" i="16"/>
  <c r="E75" i="16"/>
  <c r="G75" i="16"/>
  <c r="E66" i="16"/>
  <c r="E76" i="16" s="1"/>
  <c r="E56" i="16"/>
  <c r="G56" i="16"/>
  <c r="E30" i="16"/>
  <c r="G30" i="16"/>
  <c r="D17" i="14"/>
  <c r="D35" i="14" s="1"/>
  <c r="D11" i="14"/>
  <c r="D9" i="14"/>
  <c r="D54" i="14"/>
  <c r="D50" i="14"/>
  <c r="D47" i="14"/>
  <c r="E67" i="23" l="1"/>
  <c r="J105" i="25"/>
  <c r="I62" i="19"/>
  <c r="I63" i="19" s="1"/>
  <c r="E32" i="4"/>
  <c r="D55" i="14"/>
  <c r="D56" i="14" s="1"/>
  <c r="E57" i="14"/>
  <c r="E77" i="16"/>
  <c r="G107" i="22"/>
  <c r="I105" i="25"/>
  <c r="AA98" i="16"/>
  <c r="K97" i="16"/>
  <c r="AA97" i="16" s="1"/>
  <c r="AB98" i="16"/>
  <c r="G76" i="16"/>
  <c r="G77" i="16" s="1"/>
  <c r="E54" i="15"/>
  <c r="D54" i="15"/>
  <c r="E140" i="2"/>
  <c r="H124" i="29"/>
  <c r="G66" i="17"/>
  <c r="F37" i="30"/>
  <c r="H91" i="24"/>
  <c r="E80" i="21"/>
  <c r="F62" i="18"/>
  <c r="D57" i="14"/>
  <c r="T25" i="45"/>
  <c r="T18" i="45"/>
  <c r="U18" i="45"/>
  <c r="T19" i="45"/>
  <c r="T20" i="45"/>
  <c r="U20" i="45"/>
  <c r="T21" i="45"/>
  <c r="U21" i="45"/>
  <c r="T22" i="45"/>
  <c r="U22" i="45"/>
  <c r="U17" i="45"/>
  <c r="T17" i="45"/>
  <c r="H90" i="23"/>
  <c r="M9" i="20" l="1"/>
  <c r="L53" i="19"/>
  <c r="L9" i="19"/>
  <c r="L10" i="19"/>
  <c r="W52" i="15"/>
  <c r="F67" i="9"/>
  <c r="I21" i="13"/>
  <c r="Y21" i="13"/>
  <c r="O62" i="8"/>
  <c r="O63" i="8"/>
  <c r="O64" i="8"/>
  <c r="O65" i="8"/>
  <c r="O66" i="8"/>
  <c r="O61" i="8"/>
  <c r="Z19" i="7"/>
  <c r="Z10" i="7"/>
  <c r="Z11" i="7"/>
  <c r="Z12" i="7"/>
  <c r="Z9" i="7"/>
  <c r="H25" i="5"/>
  <c r="H24" i="5"/>
  <c r="D10" i="38"/>
  <c r="D11" i="38"/>
  <c r="D12" i="38"/>
  <c r="D13" i="38"/>
  <c r="D14" i="38"/>
  <c r="D15" i="38"/>
  <c r="D9" i="38"/>
  <c r="L28" i="2"/>
  <c r="J21" i="13" l="1"/>
  <c r="Z21" i="13" s="1"/>
  <c r="AA21" i="13"/>
  <c r="C54" i="23" l="1"/>
  <c r="G14" i="14" l="1"/>
  <c r="D22" i="7" l="1"/>
  <c r="F22" i="7"/>
  <c r="G22" i="7"/>
  <c r="H22" i="7"/>
  <c r="J22" i="7"/>
  <c r="K22" i="7"/>
  <c r="L22" i="7"/>
  <c r="M22" i="7"/>
  <c r="N22" i="7"/>
  <c r="O22" i="7"/>
  <c r="P22" i="7"/>
  <c r="Q22" i="7"/>
  <c r="S22" i="7"/>
  <c r="T22" i="7"/>
  <c r="U22" i="7"/>
  <c r="C22" i="7"/>
  <c r="C21" i="7"/>
  <c r="C20" i="7"/>
  <c r="C17" i="7"/>
  <c r="S62" i="8"/>
  <c r="S63" i="8"/>
  <c r="S64" i="8"/>
  <c r="R36" i="16"/>
  <c r="Q28" i="13" l="1"/>
  <c r="Q27" i="13"/>
  <c r="AH62" i="8" l="1"/>
  <c r="AH63" i="8"/>
  <c r="AI63" i="8" s="1"/>
  <c r="N62" i="8"/>
  <c r="N63" i="8"/>
  <c r="K85" i="8"/>
  <c r="K61" i="8"/>
  <c r="K67" i="8"/>
  <c r="K55" i="8"/>
  <c r="K26" i="8"/>
  <c r="AJ62" i="8" l="1"/>
  <c r="AI62" i="8"/>
  <c r="P62" i="8"/>
  <c r="AH64" i="8"/>
  <c r="AJ64" i="8" s="1"/>
  <c r="K69" i="8"/>
  <c r="K86" i="8" s="1"/>
  <c r="K87" i="8" s="1"/>
  <c r="AJ63" i="8"/>
  <c r="P63" i="8"/>
  <c r="L176" i="22"/>
  <c r="M176" i="22" s="1"/>
  <c r="L175" i="22"/>
  <c r="M175" i="22" s="1"/>
  <c r="L174" i="22"/>
  <c r="M174" i="22" s="1"/>
  <c r="L173" i="22"/>
  <c r="M173" i="22" s="1"/>
  <c r="L172" i="22"/>
  <c r="M172" i="22" s="1"/>
  <c r="L171" i="22"/>
  <c r="M171" i="22" s="1"/>
  <c r="L170" i="22"/>
  <c r="M170" i="22" s="1"/>
  <c r="L169" i="22"/>
  <c r="M169" i="22" s="1"/>
  <c r="L168" i="22"/>
  <c r="M168" i="22" s="1"/>
  <c r="L167" i="22"/>
  <c r="M167" i="22" s="1"/>
  <c r="L166" i="22"/>
  <c r="M166" i="22" s="1"/>
  <c r="L165" i="22"/>
  <c r="M165" i="22" s="1"/>
  <c r="L163" i="22"/>
  <c r="M163" i="22" s="1"/>
  <c r="L162" i="22"/>
  <c r="M162" i="22" s="1"/>
  <c r="L161" i="22"/>
  <c r="M161" i="22" s="1"/>
  <c r="L160" i="22"/>
  <c r="M160" i="22" s="1"/>
  <c r="L159" i="22"/>
  <c r="M159" i="22" s="1"/>
  <c r="L158" i="22"/>
  <c r="M158" i="22" s="1"/>
  <c r="L157" i="22"/>
  <c r="M157" i="22" s="1"/>
  <c r="L156" i="22"/>
  <c r="M156" i="22" s="1"/>
  <c r="L155" i="22"/>
  <c r="M155" i="22" s="1"/>
  <c r="L154" i="22"/>
  <c r="M154" i="22" s="1"/>
  <c r="L153" i="22"/>
  <c r="M153" i="22" s="1"/>
  <c r="L152" i="22"/>
  <c r="M152" i="22" s="1"/>
  <c r="L151" i="22"/>
  <c r="M151" i="22" s="1"/>
  <c r="L150" i="22"/>
  <c r="M150" i="22" s="1"/>
  <c r="L149" i="22"/>
  <c r="M149" i="22" s="1"/>
  <c r="L146" i="22"/>
  <c r="M146" i="22" s="1"/>
  <c r="L145" i="22"/>
  <c r="M145" i="22" s="1"/>
  <c r="L144" i="22"/>
  <c r="M144" i="22" s="1"/>
  <c r="L143" i="22"/>
  <c r="M143" i="22" s="1"/>
  <c r="L142" i="22"/>
  <c r="M142" i="22" s="1"/>
  <c r="L141" i="22"/>
  <c r="M141" i="22" s="1"/>
  <c r="L140" i="22"/>
  <c r="M140" i="22" s="1"/>
  <c r="L139" i="22"/>
  <c r="M139" i="22" s="1"/>
  <c r="L138" i="22"/>
  <c r="M138" i="22" s="1"/>
  <c r="L137" i="22"/>
  <c r="M137" i="22" s="1"/>
  <c r="L136" i="22"/>
  <c r="M136" i="22" s="1"/>
  <c r="L135" i="22"/>
  <c r="M135" i="22" s="1"/>
  <c r="L134" i="22"/>
  <c r="M134" i="22" s="1"/>
  <c r="L133" i="22"/>
  <c r="M133" i="22" s="1"/>
  <c r="L132" i="22"/>
  <c r="M132" i="22" s="1"/>
  <c r="L131" i="22"/>
  <c r="M131" i="22" s="1"/>
  <c r="L130" i="22"/>
  <c r="M130" i="22" s="1"/>
  <c r="L129" i="22"/>
  <c r="M129" i="22" s="1"/>
  <c r="L128" i="22"/>
  <c r="M128" i="22" s="1"/>
  <c r="L104" i="22"/>
  <c r="L97" i="22"/>
  <c r="M97" i="22" s="1"/>
  <c r="L96" i="22"/>
  <c r="M96" i="22" s="1"/>
  <c r="L95" i="22"/>
  <c r="M95" i="22" s="1"/>
  <c r="L94" i="22"/>
  <c r="M94" i="22" s="1"/>
  <c r="L93" i="22"/>
  <c r="M93" i="22" s="1"/>
  <c r="L92" i="22"/>
  <c r="M92" i="22" s="1"/>
  <c r="L87" i="22"/>
  <c r="M87" i="22" s="1"/>
  <c r="L86" i="22"/>
  <c r="M86" i="22" s="1"/>
  <c r="L84" i="22"/>
  <c r="M84" i="22" s="1"/>
  <c r="L82" i="22"/>
  <c r="M82" i="22" s="1"/>
  <c r="L81" i="22"/>
  <c r="M81" i="22" s="1"/>
  <c r="L80" i="22"/>
  <c r="M80" i="22" s="1"/>
  <c r="L79" i="22"/>
  <c r="M79" i="22" s="1"/>
  <c r="L78" i="22"/>
  <c r="M78" i="22" s="1"/>
  <c r="L76" i="22"/>
  <c r="M76" i="22" s="1"/>
  <c r="L75" i="22"/>
  <c r="M75" i="22" s="1"/>
  <c r="L74" i="22"/>
  <c r="M74" i="22" s="1"/>
  <c r="L73" i="22"/>
  <c r="M73" i="22" s="1"/>
  <c r="L71" i="22"/>
  <c r="M71" i="22" s="1"/>
  <c r="L70" i="22"/>
  <c r="M70" i="22" s="1"/>
  <c r="L69" i="22"/>
  <c r="M69" i="22" s="1"/>
  <c r="L68" i="22"/>
  <c r="M68" i="22" s="1"/>
  <c r="L67" i="22"/>
  <c r="M67" i="22" s="1"/>
  <c r="L66" i="22"/>
  <c r="M66" i="22" s="1"/>
  <c r="L63" i="22"/>
  <c r="M63" i="22" s="1"/>
  <c r="L62" i="22"/>
  <c r="M62" i="22" s="1"/>
  <c r="L60" i="22"/>
  <c r="M60" i="22" s="1"/>
  <c r="L59" i="22"/>
  <c r="M59" i="22" s="1"/>
  <c r="L57" i="22"/>
  <c r="M57" i="22" s="1"/>
  <c r="L56" i="22"/>
  <c r="L53" i="22"/>
  <c r="M53" i="22" s="1"/>
  <c r="L52" i="22"/>
  <c r="M52" i="22" s="1"/>
  <c r="L51" i="22"/>
  <c r="M51" i="22" s="1"/>
  <c r="L50" i="22"/>
  <c r="M50" i="22" s="1"/>
  <c r="L49" i="22"/>
  <c r="M49" i="22" s="1"/>
  <c r="L48" i="22"/>
  <c r="M48" i="22" s="1"/>
  <c r="L47" i="22"/>
  <c r="M47" i="22" s="1"/>
  <c r="L46" i="22"/>
  <c r="M46" i="22" s="1"/>
  <c r="L44" i="22"/>
  <c r="M44" i="22" s="1"/>
  <c r="L43" i="22"/>
  <c r="M43" i="22" s="1"/>
  <c r="L42" i="22"/>
  <c r="M42" i="22" s="1"/>
  <c r="L41" i="22"/>
  <c r="M41" i="22" s="1"/>
  <c r="L40" i="22"/>
  <c r="M40" i="22" s="1"/>
  <c r="L39" i="22"/>
  <c r="M39" i="22" s="1"/>
  <c r="L38" i="22"/>
  <c r="M38" i="22" s="1"/>
  <c r="L37" i="22"/>
  <c r="M37" i="22" s="1"/>
  <c r="L36" i="22"/>
  <c r="M36" i="22" s="1"/>
  <c r="L14" i="22"/>
  <c r="M14" i="22" s="1"/>
  <c r="L10" i="22"/>
  <c r="M10" i="22" s="1"/>
  <c r="L11" i="22"/>
  <c r="M11" i="22" s="1"/>
  <c r="L12" i="22"/>
  <c r="M12" i="22" s="1"/>
  <c r="L13" i="22"/>
  <c r="M13" i="22" s="1"/>
  <c r="L15" i="22"/>
  <c r="M15" i="22" s="1"/>
  <c r="L16" i="22"/>
  <c r="M16" i="22" s="1"/>
  <c r="L17" i="22"/>
  <c r="M17" i="22" s="1"/>
  <c r="L18" i="22"/>
  <c r="M18" i="22" s="1"/>
  <c r="L19" i="22"/>
  <c r="M19" i="22" s="1"/>
  <c r="L20" i="22"/>
  <c r="M20" i="22" s="1"/>
  <c r="L21" i="22"/>
  <c r="M21" i="22" s="1"/>
  <c r="L22" i="22"/>
  <c r="M22" i="22" s="1"/>
  <c r="L23" i="22"/>
  <c r="M23" i="22" s="1"/>
  <c r="L24" i="22"/>
  <c r="M24" i="22" s="1"/>
  <c r="L25" i="22"/>
  <c r="M25" i="22" s="1"/>
  <c r="L26" i="22"/>
  <c r="M26" i="22" s="1"/>
  <c r="L27" i="22"/>
  <c r="M27" i="22" s="1"/>
  <c r="L28" i="22"/>
  <c r="M28" i="22" s="1"/>
  <c r="L29" i="22"/>
  <c r="M29" i="22" s="1"/>
  <c r="L30" i="22"/>
  <c r="M30" i="22" s="1"/>
  <c r="L31" i="22"/>
  <c r="M31" i="22" s="1"/>
  <c r="L32" i="22"/>
  <c r="M32" i="22" s="1"/>
  <c r="L9" i="22"/>
  <c r="M9" i="22" s="1"/>
  <c r="J45" i="22"/>
  <c r="J88" i="22" s="1"/>
  <c r="J164" i="22"/>
  <c r="J177" i="22" s="1"/>
  <c r="J178" i="22" s="1"/>
  <c r="J106" i="22"/>
  <c r="J105" i="22"/>
  <c r="J33" i="22"/>
  <c r="I139" i="2"/>
  <c r="I140" i="2" s="1"/>
  <c r="I138" i="2"/>
  <c r="I124" i="2"/>
  <c r="I96" i="2"/>
  <c r="I91" i="2"/>
  <c r="L25" i="25"/>
  <c r="L8" i="25"/>
  <c r="L104" i="25"/>
  <c r="L103" i="25"/>
  <c r="I24" i="24"/>
  <c r="I8" i="24"/>
  <c r="I29" i="24" s="1"/>
  <c r="G137" i="24"/>
  <c r="I137" i="24"/>
  <c r="I138" i="24" s="1"/>
  <c r="J137" i="24"/>
  <c r="G138" i="24"/>
  <c r="J138" i="24"/>
  <c r="I89" i="24"/>
  <c r="I90" i="24" s="1"/>
  <c r="F78" i="21"/>
  <c r="F65" i="21"/>
  <c r="F79" i="21" s="1"/>
  <c r="G65" i="21"/>
  <c r="H65" i="21"/>
  <c r="F57" i="21"/>
  <c r="G57" i="21"/>
  <c r="H57" i="21"/>
  <c r="F27" i="21"/>
  <c r="F12" i="21"/>
  <c r="F8" i="21"/>
  <c r="F61" i="19"/>
  <c r="G61" i="19"/>
  <c r="H61" i="19"/>
  <c r="J61" i="19"/>
  <c r="K61" i="19"/>
  <c r="F55" i="19"/>
  <c r="F62" i="19" s="1"/>
  <c r="G55" i="19"/>
  <c r="H55" i="19"/>
  <c r="H62" i="19" s="1"/>
  <c r="F49" i="19"/>
  <c r="G49" i="19"/>
  <c r="H49" i="19"/>
  <c r="J49" i="19"/>
  <c r="K8" i="19"/>
  <c r="G31" i="19"/>
  <c r="G26" i="19"/>
  <c r="G11" i="19"/>
  <c r="G8" i="19"/>
  <c r="J26" i="20"/>
  <c r="J11" i="20"/>
  <c r="J8" i="20"/>
  <c r="E27" i="18"/>
  <c r="E12" i="18"/>
  <c r="E9" i="18"/>
  <c r="E32" i="18" s="1"/>
  <c r="E60" i="18"/>
  <c r="E61" i="18" s="1"/>
  <c r="E49" i="18"/>
  <c r="L85" i="8"/>
  <c r="M55" i="8"/>
  <c r="L55" i="8"/>
  <c r="J55" i="8"/>
  <c r="L69" i="8"/>
  <c r="L86" i="8" s="1"/>
  <c r="L20" i="8"/>
  <c r="M26" i="8"/>
  <c r="L10" i="8"/>
  <c r="L8" i="8"/>
  <c r="E123" i="29"/>
  <c r="E122" i="29"/>
  <c r="E70" i="29"/>
  <c r="E47" i="29"/>
  <c r="E30" i="29"/>
  <c r="F31" i="19"/>
  <c r="I9" i="17"/>
  <c r="I10" i="17"/>
  <c r="I12" i="17"/>
  <c r="I13" i="17"/>
  <c r="I14" i="17"/>
  <c r="I15" i="17"/>
  <c r="I17" i="17"/>
  <c r="I18" i="17"/>
  <c r="I20" i="17"/>
  <c r="I21" i="17"/>
  <c r="I22" i="17"/>
  <c r="I23" i="17"/>
  <c r="I24" i="17"/>
  <c r="I28" i="17"/>
  <c r="I29" i="17"/>
  <c r="D65" i="17"/>
  <c r="D64" i="17"/>
  <c r="D51" i="17"/>
  <c r="D30" i="17"/>
  <c r="D16" i="17"/>
  <c r="D11" i="17"/>
  <c r="D8" i="17"/>
  <c r="J85" i="8"/>
  <c r="J69" i="8"/>
  <c r="M69" i="8"/>
  <c r="J17" i="8"/>
  <c r="J15" i="8"/>
  <c r="J14" i="8"/>
  <c r="J10" i="8"/>
  <c r="J8" i="8"/>
  <c r="J26" i="8" s="1"/>
  <c r="N82" i="8"/>
  <c r="N84" i="8"/>
  <c r="N83" i="8"/>
  <c r="N81" i="8"/>
  <c r="N80" i="8"/>
  <c r="N79" i="8"/>
  <c r="N78" i="8"/>
  <c r="N77" i="8"/>
  <c r="N76" i="8"/>
  <c r="N75" i="8"/>
  <c r="N74" i="8"/>
  <c r="N73" i="8"/>
  <c r="N72" i="8"/>
  <c r="N68" i="8"/>
  <c r="N67" i="8"/>
  <c r="N65" i="8"/>
  <c r="N64" i="8"/>
  <c r="N61" i="8"/>
  <c r="N60" i="8"/>
  <c r="N54" i="8"/>
  <c r="N53" i="8"/>
  <c r="N52" i="8"/>
  <c r="N51" i="8"/>
  <c r="N50" i="8"/>
  <c r="N49" i="8"/>
  <c r="N47" i="8"/>
  <c r="N46" i="8"/>
  <c r="N45" i="8"/>
  <c r="N44" i="8"/>
  <c r="N43" i="8"/>
  <c r="N42" i="8"/>
  <c r="N41" i="8"/>
  <c r="O41" i="8" s="1"/>
  <c r="N40" i="8"/>
  <c r="O40" i="8" s="1"/>
  <c r="N38" i="8"/>
  <c r="N37" i="8"/>
  <c r="N36" i="8"/>
  <c r="O36" i="8" s="1"/>
  <c r="N35" i="8"/>
  <c r="N34" i="8"/>
  <c r="N33" i="8"/>
  <c r="N32" i="8"/>
  <c r="N31" i="8"/>
  <c r="O31" i="8" s="1"/>
  <c r="N30" i="8"/>
  <c r="N29" i="8"/>
  <c r="N9" i="8"/>
  <c r="N11" i="8"/>
  <c r="N16" i="8"/>
  <c r="N19" i="8"/>
  <c r="N21" i="8"/>
  <c r="N22" i="8"/>
  <c r="N23" i="8"/>
  <c r="N24" i="8"/>
  <c r="N25" i="8"/>
  <c r="E66" i="39"/>
  <c r="E57" i="39"/>
  <c r="E67" i="39" s="1"/>
  <c r="E68" i="39" s="1"/>
  <c r="E44" i="39"/>
  <c r="E26" i="39"/>
  <c r="E17" i="39"/>
  <c r="E15" i="39"/>
  <c r="E14" i="39"/>
  <c r="E10" i="39"/>
  <c r="E8" i="39"/>
  <c r="H8" i="39"/>
  <c r="K93" i="2"/>
  <c r="K92" i="2"/>
  <c r="I29" i="2"/>
  <c r="I27" i="2"/>
  <c r="I25" i="2"/>
  <c r="I24" i="2"/>
  <c r="I23" i="2"/>
  <c r="I22" i="2"/>
  <c r="I17" i="2"/>
  <c r="I16" i="2"/>
  <c r="I11" i="2"/>
  <c r="I8" i="2"/>
  <c r="L164" i="22" l="1"/>
  <c r="M164" i="22" s="1"/>
  <c r="M56" i="22"/>
  <c r="AF56" i="22"/>
  <c r="F32" i="21"/>
  <c r="F80" i="21" s="1"/>
  <c r="F63" i="19"/>
  <c r="G62" i="19"/>
  <c r="G63" i="19" s="1"/>
  <c r="AI64" i="8"/>
  <c r="L26" i="8"/>
  <c r="L87" i="8" s="1"/>
  <c r="J86" i="8"/>
  <c r="J87" i="8" s="1"/>
  <c r="J107" i="22"/>
  <c r="L105" i="25"/>
  <c r="I91" i="24"/>
  <c r="E62" i="18"/>
  <c r="E124" i="29"/>
  <c r="D66" i="17"/>
  <c r="U38" i="2"/>
  <c r="V45" i="22" l="1"/>
  <c r="AB45" i="22" s="1"/>
  <c r="X23" i="32" l="1"/>
  <c r="X67" i="25" l="1"/>
  <c r="X68" i="25"/>
  <c r="U115" i="24"/>
  <c r="R100" i="23"/>
  <c r="R95" i="23"/>
  <c r="R98" i="23"/>
  <c r="R90" i="23"/>
  <c r="R94" i="23"/>
  <c r="R15" i="23"/>
  <c r="AD60" i="19"/>
  <c r="AC60" i="19"/>
  <c r="AE60" i="19" s="1"/>
  <c r="AE59" i="19"/>
  <c r="AC59" i="19"/>
  <c r="AD59" i="19" s="1"/>
  <c r="AE58" i="19"/>
  <c r="AD58" i="19"/>
  <c r="AC58" i="19"/>
  <c r="K60" i="19"/>
  <c r="U61" i="19"/>
  <c r="T33" i="39" l="1"/>
  <c r="J33" i="15"/>
  <c r="J34" i="15"/>
  <c r="J43" i="15" s="1"/>
  <c r="J35" i="15"/>
  <c r="J36" i="15"/>
  <c r="J37" i="15"/>
  <c r="J38" i="15"/>
  <c r="J39" i="15"/>
  <c r="J40" i="15"/>
  <c r="J41" i="15"/>
  <c r="J42" i="15"/>
  <c r="I33" i="15"/>
  <c r="I34" i="15"/>
  <c r="I43" i="15" s="1"/>
  <c r="I35" i="15"/>
  <c r="I36" i="15"/>
  <c r="I37" i="15"/>
  <c r="I38" i="15"/>
  <c r="I39" i="15"/>
  <c r="I40" i="15"/>
  <c r="I41" i="15"/>
  <c r="I42" i="15"/>
  <c r="Y33" i="15"/>
  <c r="Y35" i="15"/>
  <c r="Y36" i="15"/>
  <c r="Y37" i="15"/>
  <c r="Y38" i="15"/>
  <c r="Y39" i="15"/>
  <c r="AA39" i="15" s="1"/>
  <c r="Y40" i="15"/>
  <c r="Y42" i="15"/>
  <c r="G43" i="15"/>
  <c r="H43" i="15"/>
  <c r="K43" i="15"/>
  <c r="L43" i="15"/>
  <c r="M43" i="15"/>
  <c r="N43" i="15"/>
  <c r="O43" i="15"/>
  <c r="P43" i="15"/>
  <c r="Q43" i="15"/>
  <c r="R43" i="15"/>
  <c r="S43" i="15"/>
  <c r="T43" i="15"/>
  <c r="U43" i="15"/>
  <c r="V43" i="15"/>
  <c r="C43" i="15"/>
  <c r="E41" i="15"/>
  <c r="E39" i="15"/>
  <c r="G37" i="15"/>
  <c r="G30" i="15"/>
  <c r="G31" i="15"/>
  <c r="G32" i="15"/>
  <c r="G33" i="15"/>
  <c r="G34" i="15"/>
  <c r="G35" i="15"/>
  <c r="G36" i="15"/>
  <c r="G38" i="15"/>
  <c r="G39" i="15"/>
  <c r="G40" i="15"/>
  <c r="G41" i="15"/>
  <c r="G42" i="15"/>
  <c r="G9" i="15"/>
  <c r="I105" i="29"/>
  <c r="I80" i="29"/>
  <c r="I79" i="29"/>
  <c r="I78" i="29"/>
  <c r="I77" i="29"/>
  <c r="I91" i="29"/>
  <c r="F46" i="15"/>
  <c r="G46" i="15"/>
  <c r="I46" i="15" s="1"/>
  <c r="G47" i="15"/>
  <c r="H47" i="15" s="1"/>
  <c r="G48" i="15"/>
  <c r="I48" i="15" s="1"/>
  <c r="G49" i="15"/>
  <c r="I49" i="15" s="1"/>
  <c r="Y49" i="15"/>
  <c r="AA49" i="15" s="1"/>
  <c r="F50" i="15"/>
  <c r="G50" i="15"/>
  <c r="H50" i="15" s="1"/>
  <c r="F51" i="15"/>
  <c r="G51" i="15"/>
  <c r="H51" i="15"/>
  <c r="I51" i="15"/>
  <c r="Y51" i="15"/>
  <c r="AA51" i="15" s="1"/>
  <c r="O15" i="33"/>
  <c r="S21" i="5"/>
  <c r="Y21" i="5"/>
  <c r="X21" i="5"/>
  <c r="W21" i="5"/>
  <c r="V21" i="5"/>
  <c r="U21" i="5"/>
  <c r="T21" i="5"/>
  <c r="R21" i="5"/>
  <c r="Q21" i="5"/>
  <c r="P21" i="5"/>
  <c r="O21" i="5"/>
  <c r="N21" i="5"/>
  <c r="M21" i="5"/>
  <c r="K21" i="5"/>
  <c r="J21" i="5"/>
  <c r="D21" i="5"/>
  <c r="C21" i="5"/>
  <c r="U80" i="2"/>
  <c r="U52" i="2"/>
  <c r="Y34" i="15" l="1"/>
  <c r="AA35" i="15"/>
  <c r="Z35" i="15"/>
  <c r="X43" i="15"/>
  <c r="Z39" i="15"/>
  <c r="Y41" i="15"/>
  <c r="AA41" i="15" s="1"/>
  <c r="Z36" i="15"/>
  <c r="Z40" i="15"/>
  <c r="Z38" i="15"/>
  <c r="AA38" i="15"/>
  <c r="Z42" i="15"/>
  <c r="AA42" i="15"/>
  <c r="Z33" i="15"/>
  <c r="AA33" i="15"/>
  <c r="Z37" i="15"/>
  <c r="AA37" i="15"/>
  <c r="Z34" i="15"/>
  <c r="AA34" i="15"/>
  <c r="W43" i="15"/>
  <c r="AA40" i="15"/>
  <c r="AA36" i="15"/>
  <c r="Y45" i="15"/>
  <c r="AA45" i="15" s="1"/>
  <c r="Y48" i="15"/>
  <c r="AA48" i="15" s="1"/>
  <c r="Y47" i="15"/>
  <c r="AA47" i="15" s="1"/>
  <c r="H49" i="15"/>
  <c r="J49" i="15" s="1"/>
  <c r="Z49" i="15" s="1"/>
  <c r="H48" i="15"/>
  <c r="J51" i="15"/>
  <c r="Z51" i="15" s="1"/>
  <c r="J48" i="15"/>
  <c r="Y46" i="15"/>
  <c r="AA46" i="15" s="1"/>
  <c r="Y50" i="15"/>
  <c r="AA50" i="15" s="1"/>
  <c r="H46" i="15"/>
  <c r="I122" i="29"/>
  <c r="J50" i="15"/>
  <c r="J46" i="15"/>
  <c r="Z46" i="15" s="1"/>
  <c r="I50" i="15"/>
  <c r="I47" i="15"/>
  <c r="J47" i="15" s="1"/>
  <c r="U14" i="45"/>
  <c r="T14" i="45"/>
  <c r="U13" i="45"/>
  <c r="T13" i="45"/>
  <c r="Y11" i="37"/>
  <c r="Y12" i="37"/>
  <c r="Y14" i="37"/>
  <c r="Y15" i="37"/>
  <c r="Y16" i="37"/>
  <c r="Y18" i="37"/>
  <c r="Y19" i="37"/>
  <c r="Y20" i="37"/>
  <c r="Y21" i="37"/>
  <c r="Y24" i="37"/>
  <c r="Y25" i="37"/>
  <c r="Y26" i="37"/>
  <c r="Y27" i="37"/>
  <c r="Y28" i="37"/>
  <c r="Y30" i="37"/>
  <c r="Y31" i="37"/>
  <c r="Y32" i="37"/>
  <c r="Y9" i="37"/>
  <c r="W48" i="36"/>
  <c r="W47" i="36"/>
  <c r="W46" i="36"/>
  <c r="W45" i="36"/>
  <c r="W44" i="36"/>
  <c r="W43" i="36"/>
  <c r="W42" i="36"/>
  <c r="W41" i="36"/>
  <c r="W40" i="36"/>
  <c r="W39" i="36"/>
  <c r="W38" i="36"/>
  <c r="W37" i="36"/>
  <c r="W36" i="36"/>
  <c r="W35" i="36"/>
  <c r="W34" i="36"/>
  <c r="W33" i="36"/>
  <c r="W32" i="36"/>
  <c r="W28" i="36"/>
  <c r="W27" i="36"/>
  <c r="W26" i="36"/>
  <c r="W25" i="36"/>
  <c r="W24" i="36"/>
  <c r="W23" i="36"/>
  <c r="W22" i="36"/>
  <c r="W18" i="36"/>
  <c r="W17" i="36"/>
  <c r="W16" i="36"/>
  <c r="W12" i="36"/>
  <c r="Z50" i="15" l="1"/>
  <c r="Z47" i="15"/>
  <c r="Z48" i="15"/>
  <c r="Z41" i="15"/>
  <c r="Z45" i="15"/>
  <c r="J121" i="29"/>
  <c r="J120" i="29"/>
  <c r="J119" i="29"/>
  <c r="J118" i="29"/>
  <c r="J117" i="29"/>
  <c r="J116" i="29"/>
  <c r="J115" i="29"/>
  <c r="J114" i="29"/>
  <c r="J113" i="29"/>
  <c r="J112" i="29"/>
  <c r="J111" i="29"/>
  <c r="J110" i="29"/>
  <c r="J109" i="29"/>
  <c r="J108" i="29"/>
  <c r="J107" i="29"/>
  <c r="J106" i="29"/>
  <c r="J105" i="29"/>
  <c r="J104" i="29"/>
  <c r="J103" i="29"/>
  <c r="J102" i="29"/>
  <c r="J101" i="29"/>
  <c r="J100" i="29"/>
  <c r="J99" i="29"/>
  <c r="J98" i="29"/>
  <c r="J97" i="29"/>
  <c r="J96" i="29"/>
  <c r="J95" i="29"/>
  <c r="J94" i="29"/>
  <c r="J93" i="29"/>
  <c r="J88" i="29"/>
  <c r="J87" i="29"/>
  <c r="J86" i="29"/>
  <c r="J85" i="29"/>
  <c r="J84" i="29"/>
  <c r="J83" i="29"/>
  <c r="J82" i="29"/>
  <c r="J81" i="29"/>
  <c r="J80" i="29"/>
  <c r="J79" i="29"/>
  <c r="J78" i="29"/>
  <c r="J77" i="29"/>
  <c r="J76" i="29"/>
  <c r="J75" i="29"/>
  <c r="J74" i="29"/>
  <c r="J73" i="29"/>
  <c r="J72" i="29"/>
  <c r="J69" i="29"/>
  <c r="J68" i="29"/>
  <c r="J67" i="29"/>
  <c r="J66" i="29"/>
  <c r="J65" i="29"/>
  <c r="J64" i="29"/>
  <c r="J63" i="29"/>
  <c r="J62" i="29"/>
  <c r="J61" i="29"/>
  <c r="J60" i="29"/>
  <c r="J59" i="29"/>
  <c r="J58" i="29"/>
  <c r="J57" i="29"/>
  <c r="J56" i="29"/>
  <c r="J55" i="29"/>
  <c r="J54" i="29"/>
  <c r="J53" i="29"/>
  <c r="J52" i="29"/>
  <c r="J46" i="29"/>
  <c r="J45" i="29"/>
  <c r="J44" i="29"/>
  <c r="J43" i="29"/>
  <c r="J42" i="29"/>
  <c r="J41" i="29"/>
  <c r="J40" i="29"/>
  <c r="J39" i="29"/>
  <c r="J38" i="29"/>
  <c r="J37" i="29"/>
  <c r="J36" i="29"/>
  <c r="J35" i="29"/>
  <c r="J34" i="29"/>
  <c r="J33" i="29"/>
  <c r="J32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9" i="29"/>
  <c r="AH66" i="25"/>
  <c r="AG66" i="25"/>
  <c r="AH59" i="25"/>
  <c r="AG59" i="25"/>
  <c r="AH55" i="25"/>
  <c r="AG55" i="25"/>
  <c r="O31" i="25"/>
  <c r="Z64" i="23"/>
  <c r="AB64" i="23" s="1"/>
  <c r="AB63" i="23"/>
  <c r="Z9" i="23"/>
  <c r="H9" i="23"/>
  <c r="K72" i="21"/>
  <c r="K71" i="21"/>
  <c r="K70" i="21"/>
  <c r="J34" i="21"/>
  <c r="J9" i="21"/>
  <c r="J10" i="21"/>
  <c r="J11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30" i="21"/>
  <c r="J31" i="21"/>
  <c r="L57" i="20"/>
  <c r="L56" i="20"/>
  <c r="M56" i="20" s="1"/>
  <c r="L55" i="20"/>
  <c r="L54" i="20"/>
  <c r="L53" i="20"/>
  <c r="L52" i="20"/>
  <c r="L51" i="20"/>
  <c r="L50" i="20"/>
  <c r="L49" i="20"/>
  <c r="L48" i="20"/>
  <c r="M48" i="20" s="1"/>
  <c r="L47" i="20"/>
  <c r="M47" i="20" s="1"/>
  <c r="L46" i="20"/>
  <c r="L45" i="20"/>
  <c r="L44" i="20"/>
  <c r="L43" i="20"/>
  <c r="M43" i="20" s="1"/>
  <c r="L42" i="20"/>
  <c r="L41" i="20"/>
  <c r="L40" i="20"/>
  <c r="L39" i="20"/>
  <c r="L38" i="20"/>
  <c r="M38" i="20" s="1"/>
  <c r="L37" i="20"/>
  <c r="M37" i="20" s="1"/>
  <c r="L36" i="20"/>
  <c r="M36" i="20" s="1"/>
  <c r="L35" i="20"/>
  <c r="L34" i="20"/>
  <c r="M34" i="20" s="1"/>
  <c r="L30" i="20"/>
  <c r="L29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F9" i="20"/>
  <c r="L8" i="20"/>
  <c r="Y58" i="17"/>
  <c r="AA64" i="23" l="1"/>
  <c r="Z31" i="5" l="1"/>
  <c r="Z21" i="5"/>
  <c r="L76" i="20" l="1"/>
  <c r="L75" i="20"/>
  <c r="L74" i="20"/>
  <c r="L73" i="20"/>
  <c r="L72" i="20"/>
  <c r="L71" i="20"/>
  <c r="L68" i="20"/>
  <c r="L67" i="20"/>
  <c r="L66" i="20"/>
  <c r="L65" i="20"/>
  <c r="L64" i="20"/>
  <c r="L63" i="20"/>
  <c r="L62" i="20"/>
  <c r="L61" i="20"/>
  <c r="H45" i="20"/>
  <c r="H38" i="20"/>
  <c r="H35" i="20"/>
  <c r="H47" i="20"/>
  <c r="H55" i="20"/>
  <c r="H77" i="20"/>
  <c r="K77" i="20"/>
  <c r="H78" i="20"/>
  <c r="H58" i="20"/>
  <c r="H31" i="20"/>
  <c r="L133" i="2"/>
  <c r="K68" i="24"/>
  <c r="K67" i="24"/>
  <c r="K66" i="24"/>
  <c r="K65" i="24"/>
  <c r="K64" i="24"/>
  <c r="K63" i="24"/>
  <c r="K62" i="24"/>
  <c r="K61" i="24"/>
  <c r="K60" i="24"/>
  <c r="K59" i="24"/>
  <c r="K58" i="24"/>
  <c r="K57" i="24"/>
  <c r="K55" i="24"/>
  <c r="K53" i="24"/>
  <c r="K52" i="24"/>
  <c r="K51" i="24"/>
  <c r="K49" i="24"/>
  <c r="K47" i="24"/>
  <c r="K44" i="24"/>
  <c r="K42" i="24"/>
  <c r="K41" i="24"/>
  <c r="K40" i="24"/>
  <c r="K39" i="24"/>
  <c r="K38" i="24"/>
  <c r="K36" i="24"/>
  <c r="K34" i="24"/>
  <c r="K33" i="24"/>
  <c r="K31" i="24"/>
  <c r="K28" i="24"/>
  <c r="K27" i="24"/>
  <c r="K23" i="24"/>
  <c r="K22" i="24"/>
  <c r="K21" i="24"/>
  <c r="K20" i="24"/>
  <c r="K19" i="24"/>
  <c r="K18" i="24"/>
  <c r="K17" i="24"/>
  <c r="K16" i="24"/>
  <c r="K15" i="24"/>
  <c r="K14" i="24"/>
  <c r="L14" i="24" s="1"/>
  <c r="K13" i="24"/>
  <c r="K12" i="24"/>
  <c r="K11" i="24"/>
  <c r="K9" i="24"/>
  <c r="K88" i="24"/>
  <c r="K82" i="24"/>
  <c r="K81" i="24"/>
  <c r="K80" i="24"/>
  <c r="K79" i="24"/>
  <c r="K73" i="24"/>
  <c r="K74" i="24"/>
  <c r="K75" i="24"/>
  <c r="K72" i="24"/>
  <c r="G72" i="24"/>
  <c r="G76" i="24" s="1"/>
  <c r="G87" i="24"/>
  <c r="K87" i="24" s="1"/>
  <c r="G89" i="24"/>
  <c r="G69" i="24"/>
  <c r="J69" i="24"/>
  <c r="G29" i="24"/>
  <c r="J29" i="24"/>
  <c r="M60" i="24" l="1"/>
  <c r="L60" i="24"/>
  <c r="L57" i="24"/>
  <c r="M57" i="24"/>
  <c r="M53" i="24"/>
  <c r="L53" i="24"/>
  <c r="L39" i="24"/>
  <c r="M39" i="24"/>
  <c r="K78" i="20"/>
  <c r="K79" i="20" s="1"/>
  <c r="H79" i="20"/>
  <c r="G90" i="24"/>
  <c r="G91" i="24" s="1"/>
  <c r="K17" i="9" l="1"/>
  <c r="U17" i="9" s="1"/>
  <c r="W17" i="9" s="1"/>
  <c r="C20" i="33" l="1"/>
  <c r="C19" i="33"/>
  <c r="C77" i="16"/>
  <c r="C76" i="16"/>
  <c r="C75" i="16"/>
  <c r="D66" i="16"/>
  <c r="L66" i="16"/>
  <c r="M66" i="16"/>
  <c r="N66" i="16"/>
  <c r="O66" i="16"/>
  <c r="P66" i="16"/>
  <c r="Q66" i="16"/>
  <c r="R66" i="16"/>
  <c r="S66" i="16"/>
  <c r="T66" i="16"/>
  <c r="Y66" i="16" s="1"/>
  <c r="U66" i="16"/>
  <c r="V66" i="16"/>
  <c r="W66" i="16"/>
  <c r="C66" i="16"/>
  <c r="D56" i="16"/>
  <c r="L56" i="16"/>
  <c r="M56" i="16"/>
  <c r="N56" i="16"/>
  <c r="O56" i="16"/>
  <c r="P56" i="16"/>
  <c r="Q56" i="16"/>
  <c r="R56" i="16"/>
  <c r="S56" i="16"/>
  <c r="T56" i="16"/>
  <c r="U56" i="16"/>
  <c r="V56" i="16"/>
  <c r="W56" i="16"/>
  <c r="X56" i="16"/>
  <c r="Y56" i="16"/>
  <c r="C56" i="16"/>
  <c r="Y116" i="16"/>
  <c r="X116" i="16"/>
  <c r="W116" i="16"/>
  <c r="V116" i="16"/>
  <c r="U116" i="16"/>
  <c r="T116" i="16"/>
  <c r="S116" i="16"/>
  <c r="R116" i="16"/>
  <c r="Q116" i="16"/>
  <c r="P116" i="16"/>
  <c r="O116" i="16"/>
  <c r="N116" i="16"/>
  <c r="M116" i="16"/>
  <c r="L116" i="16"/>
  <c r="D116" i="16"/>
  <c r="C116" i="16"/>
  <c r="AB94" i="16"/>
  <c r="Z8" i="16"/>
  <c r="AB8" i="16" s="1"/>
  <c r="F64" i="17"/>
  <c r="M64" i="17"/>
  <c r="N64" i="17"/>
  <c r="N65" i="17" s="1"/>
  <c r="O64" i="17"/>
  <c r="P64" i="17"/>
  <c r="Q64" i="17"/>
  <c r="R64" i="17"/>
  <c r="R65" i="17" s="1"/>
  <c r="S64" i="17"/>
  <c r="T64" i="17"/>
  <c r="U64" i="17"/>
  <c r="V64" i="17"/>
  <c r="V65" i="17" s="1"/>
  <c r="W64" i="17"/>
  <c r="X64" i="17"/>
  <c r="Y64" i="17"/>
  <c r="Y65" i="17" s="1"/>
  <c r="Z64" i="17"/>
  <c r="C64" i="17"/>
  <c r="H58" i="17"/>
  <c r="M58" i="17"/>
  <c r="M65" i="17" s="1"/>
  <c r="M66" i="17" s="1"/>
  <c r="N58" i="17"/>
  <c r="O58" i="17"/>
  <c r="P58" i="17"/>
  <c r="Q58" i="17"/>
  <c r="Q65" i="17" s="1"/>
  <c r="Q66" i="17" s="1"/>
  <c r="R58" i="17"/>
  <c r="S58" i="17"/>
  <c r="T58" i="17"/>
  <c r="U58" i="17"/>
  <c r="U65" i="17" s="1"/>
  <c r="V58" i="17"/>
  <c r="W58" i="17"/>
  <c r="X58" i="17"/>
  <c r="Z58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H30" i="17"/>
  <c r="M30" i="17"/>
  <c r="N30" i="17"/>
  <c r="O30" i="17"/>
  <c r="P30" i="17"/>
  <c r="Q30" i="17"/>
  <c r="R30" i="17"/>
  <c r="S30" i="17"/>
  <c r="U30" i="17"/>
  <c r="V30" i="17"/>
  <c r="W30" i="17"/>
  <c r="X30" i="17"/>
  <c r="Y30" i="17"/>
  <c r="Z30" i="17"/>
  <c r="K105" i="22"/>
  <c r="P105" i="22"/>
  <c r="Q105" i="22"/>
  <c r="R105" i="22"/>
  <c r="S105" i="22"/>
  <c r="T105" i="22"/>
  <c r="U105" i="22"/>
  <c r="V105" i="22"/>
  <c r="W105" i="22"/>
  <c r="X105" i="22"/>
  <c r="Y105" i="22"/>
  <c r="Z105" i="22"/>
  <c r="AA105" i="22"/>
  <c r="AB105" i="22"/>
  <c r="AC105" i="22"/>
  <c r="AD104" i="22"/>
  <c r="AF104" i="22" s="1"/>
  <c r="AD103" i="22"/>
  <c r="AF103" i="22" s="1"/>
  <c r="AD101" i="22"/>
  <c r="AD100" i="22"/>
  <c r="AD97" i="22"/>
  <c r="AD96" i="22"/>
  <c r="AD95" i="22"/>
  <c r="AD94" i="22"/>
  <c r="AD93" i="22"/>
  <c r="AD92" i="22"/>
  <c r="AD87" i="22"/>
  <c r="AD86" i="22"/>
  <c r="AD84" i="22"/>
  <c r="AD83" i="22"/>
  <c r="AD82" i="22"/>
  <c r="AD81" i="22"/>
  <c r="AD80" i="22"/>
  <c r="AD79" i="22"/>
  <c r="AD78" i="22"/>
  <c r="AD77" i="22"/>
  <c r="AD76" i="22"/>
  <c r="AD75" i="22"/>
  <c r="AD74" i="22"/>
  <c r="AD73" i="22"/>
  <c r="AD72" i="22"/>
  <c r="AD71" i="22"/>
  <c r="AD70" i="22"/>
  <c r="AD69" i="22"/>
  <c r="AD68" i="22"/>
  <c r="AD67" i="22"/>
  <c r="AD66" i="22"/>
  <c r="AD65" i="22"/>
  <c r="AD64" i="22"/>
  <c r="AD63" i="22"/>
  <c r="AD62" i="22"/>
  <c r="AD61" i="22"/>
  <c r="AD60" i="22"/>
  <c r="AD59" i="22"/>
  <c r="AD58" i="22"/>
  <c r="AD57" i="22"/>
  <c r="AD54" i="22"/>
  <c r="AD53" i="22"/>
  <c r="AD52" i="22"/>
  <c r="AD51" i="22"/>
  <c r="AD50" i="22"/>
  <c r="AD49" i="22"/>
  <c r="AD48" i="22"/>
  <c r="AD47" i="22"/>
  <c r="AD46" i="22"/>
  <c r="AD45" i="22"/>
  <c r="AD44" i="22"/>
  <c r="AD43" i="22"/>
  <c r="AD42" i="22"/>
  <c r="AD41" i="22"/>
  <c r="AD40" i="22"/>
  <c r="AD39" i="22"/>
  <c r="AD38" i="22"/>
  <c r="AD37" i="22"/>
  <c r="AD36" i="22"/>
  <c r="AD35" i="22"/>
  <c r="AD10" i="22"/>
  <c r="AD11" i="22"/>
  <c r="AD12" i="22"/>
  <c r="AD13" i="22"/>
  <c r="AD14" i="22"/>
  <c r="AD15" i="22"/>
  <c r="AD16" i="22"/>
  <c r="AD17" i="22"/>
  <c r="AD18" i="22"/>
  <c r="AD19" i="22"/>
  <c r="AD20" i="22"/>
  <c r="AD21" i="22"/>
  <c r="AD22" i="22"/>
  <c r="AD23" i="22"/>
  <c r="AD24" i="22"/>
  <c r="AD25" i="22"/>
  <c r="AD26" i="22"/>
  <c r="AD27" i="22"/>
  <c r="AD28" i="22"/>
  <c r="AD29" i="22"/>
  <c r="AD30" i="22"/>
  <c r="AD31" i="22"/>
  <c r="AD32" i="22"/>
  <c r="C33" i="22"/>
  <c r="U66" i="17" l="1"/>
  <c r="X65" i="17"/>
  <c r="X66" i="17" s="1"/>
  <c r="T65" i="17"/>
  <c r="T66" i="17" s="1"/>
  <c r="P65" i="17"/>
  <c r="P66" i="17" s="1"/>
  <c r="H116" i="16"/>
  <c r="AD105" i="22"/>
  <c r="W65" i="17"/>
  <c r="W66" i="17" s="1"/>
  <c r="S65" i="17"/>
  <c r="S66" i="17" s="1"/>
  <c r="O65" i="17"/>
  <c r="O66" i="17" s="1"/>
  <c r="F65" i="17"/>
  <c r="V66" i="17"/>
  <c r="R66" i="17"/>
  <c r="N66" i="17"/>
  <c r="Z65" i="17"/>
  <c r="Z66" i="17" s="1"/>
  <c r="Y66" i="17"/>
  <c r="O28" i="4"/>
  <c r="H35" i="10" l="1"/>
  <c r="N30" i="29" l="1"/>
  <c r="O30" i="29"/>
  <c r="P30" i="29"/>
  <c r="Q30" i="29"/>
  <c r="R30" i="29"/>
  <c r="S30" i="29"/>
  <c r="T30" i="29"/>
  <c r="U30" i="29"/>
  <c r="V30" i="29"/>
  <c r="W30" i="29"/>
  <c r="X30" i="29"/>
  <c r="Y30" i="29"/>
  <c r="AA30" i="29"/>
  <c r="AA63" i="23"/>
  <c r="Z63" i="23"/>
  <c r="M75" i="20"/>
  <c r="M74" i="20"/>
  <c r="M72" i="20"/>
  <c r="I24" i="32"/>
  <c r="AB34" i="30"/>
  <c r="I34" i="30"/>
  <c r="S79" i="8"/>
  <c r="S74" i="8"/>
  <c r="P79" i="8"/>
  <c r="P73" i="8"/>
  <c r="P74" i="8"/>
  <c r="O79" i="8"/>
  <c r="O74" i="8"/>
  <c r="O84" i="8"/>
  <c r="O83" i="8"/>
  <c r="AC8" i="2"/>
  <c r="AE8" i="2" s="1"/>
  <c r="I52" i="15" l="1"/>
  <c r="F52" i="15"/>
  <c r="F53" i="15" s="1"/>
  <c r="G52" i="15"/>
  <c r="H52" i="15"/>
  <c r="K52" i="15"/>
  <c r="K53" i="15" s="1"/>
  <c r="L52" i="15"/>
  <c r="M52" i="15"/>
  <c r="N52" i="15"/>
  <c r="N53" i="15" s="1"/>
  <c r="O52" i="15"/>
  <c r="O53" i="15" s="1"/>
  <c r="P52" i="15"/>
  <c r="Q52" i="15"/>
  <c r="Q53" i="15" s="1"/>
  <c r="R52" i="15"/>
  <c r="R53" i="15" s="1"/>
  <c r="S52" i="15"/>
  <c r="S53" i="15" s="1"/>
  <c r="T52" i="15"/>
  <c r="T53" i="15" s="1"/>
  <c r="U52" i="15"/>
  <c r="U53" i="15" s="1"/>
  <c r="V52" i="15"/>
  <c r="V53" i="15" s="1"/>
  <c r="X52" i="15"/>
  <c r="L53" i="15"/>
  <c r="M53" i="15"/>
  <c r="C52" i="15"/>
  <c r="R93" i="25" l="1"/>
  <c r="S93" i="25"/>
  <c r="T93" i="25"/>
  <c r="U93" i="25"/>
  <c r="V93" i="25"/>
  <c r="W93" i="25"/>
  <c r="X93" i="25"/>
  <c r="Y93" i="25"/>
  <c r="Z93" i="25"/>
  <c r="AA93" i="25"/>
  <c r="AB93" i="25"/>
  <c r="AC93" i="25"/>
  <c r="AD93" i="25"/>
  <c r="AE93" i="25"/>
  <c r="AD44" i="29"/>
  <c r="AD45" i="39" l="1"/>
  <c r="Z24" i="4"/>
  <c r="P45" i="26" l="1"/>
  <c r="U177" i="22"/>
  <c r="U178" i="22"/>
  <c r="F134" i="23"/>
  <c r="G134" i="23"/>
  <c r="L134" i="23"/>
  <c r="N134" i="23"/>
  <c r="O134" i="23"/>
  <c r="P134" i="23"/>
  <c r="R134" i="23"/>
  <c r="S134" i="23"/>
  <c r="T134" i="23"/>
  <c r="U134" i="23"/>
  <c r="V134" i="23"/>
  <c r="W134" i="23"/>
  <c r="Q134" i="23"/>
  <c r="P19" i="15" l="1"/>
  <c r="T96" i="2" l="1"/>
  <c r="O9" i="23" l="1"/>
  <c r="J25" i="4" l="1"/>
  <c r="K25" i="4"/>
  <c r="L25" i="4"/>
  <c r="M25" i="4"/>
  <c r="N25" i="4"/>
  <c r="O25" i="4"/>
  <c r="P25" i="4"/>
  <c r="Q25" i="4"/>
  <c r="R25" i="4"/>
  <c r="S25" i="4"/>
  <c r="T25" i="4"/>
  <c r="U25" i="4"/>
  <c r="V25" i="4"/>
  <c r="P9" i="23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K89" i="24"/>
  <c r="J89" i="24"/>
  <c r="J90" i="24" s="1"/>
  <c r="F89" i="24"/>
  <c r="AA137" i="24"/>
  <c r="AA138" i="24" s="1"/>
  <c r="Z137" i="24"/>
  <c r="Z138" i="24" s="1"/>
  <c r="Y137" i="24"/>
  <c r="Y138" i="24" s="1"/>
  <c r="X137" i="24"/>
  <c r="X138" i="24" s="1"/>
  <c r="W137" i="24"/>
  <c r="W138" i="24" s="1"/>
  <c r="V137" i="24"/>
  <c r="V138" i="24" s="1"/>
  <c r="U137" i="24"/>
  <c r="U138" i="24" s="1"/>
  <c r="T137" i="24"/>
  <c r="T138" i="24" s="1"/>
  <c r="S137" i="24"/>
  <c r="S138" i="24" s="1"/>
  <c r="R137" i="24"/>
  <c r="R138" i="24" s="1"/>
  <c r="Q137" i="24"/>
  <c r="Q138" i="24" s="1"/>
  <c r="P137" i="24"/>
  <c r="P138" i="24" s="1"/>
  <c r="O137" i="24"/>
  <c r="O138" i="24" s="1"/>
  <c r="F137" i="24"/>
  <c r="F138" i="24" s="1"/>
  <c r="AA10" i="26" l="1"/>
  <c r="AA133" i="26"/>
  <c r="AF97" i="22"/>
  <c r="AF96" i="22"/>
  <c r="AF95" i="22"/>
  <c r="AF94" i="22"/>
  <c r="AF93" i="22"/>
  <c r="AF92" i="22"/>
  <c r="AF87" i="22"/>
  <c r="AF86" i="22"/>
  <c r="AF84" i="22"/>
  <c r="AF82" i="22"/>
  <c r="AF81" i="22"/>
  <c r="AF80" i="22"/>
  <c r="AF79" i="22"/>
  <c r="AF78" i="22"/>
  <c r="AF75" i="22"/>
  <c r="AF74" i="22"/>
  <c r="AF73" i="22"/>
  <c r="AF71" i="22"/>
  <c r="AF70" i="22"/>
  <c r="AF69" i="22"/>
  <c r="AF68" i="22"/>
  <c r="AF67" i="22"/>
  <c r="AF66" i="22"/>
  <c r="AF63" i="22"/>
  <c r="AF60" i="22"/>
  <c r="AF59" i="22"/>
  <c r="AF53" i="22"/>
  <c r="AF52" i="22"/>
  <c r="AF51" i="22"/>
  <c r="AF50" i="22"/>
  <c r="AF49" i="22"/>
  <c r="AF48" i="22"/>
  <c r="AF44" i="22"/>
  <c r="AF43" i="22"/>
  <c r="AF42" i="22"/>
  <c r="AF41" i="22"/>
  <c r="AF40" i="22"/>
  <c r="AF39" i="22"/>
  <c r="AF38" i="22"/>
  <c r="AF36" i="22"/>
  <c r="AF35" i="22"/>
  <c r="AF18" i="22"/>
  <c r="AF19" i="22"/>
  <c r="AF20" i="22"/>
  <c r="AF21" i="22"/>
  <c r="AF22" i="22"/>
  <c r="AF23" i="22"/>
  <c r="AF24" i="22"/>
  <c r="AF25" i="22"/>
  <c r="AF26" i="22"/>
  <c r="AF27" i="22"/>
  <c r="AF32" i="22"/>
  <c r="AD60" i="21"/>
  <c r="AD10" i="21"/>
  <c r="G14" i="21"/>
  <c r="J14" i="21" s="1"/>
  <c r="G13" i="21"/>
  <c r="J13" i="21" s="1"/>
  <c r="G12" i="21"/>
  <c r="J12" i="21" s="1"/>
  <c r="Z15" i="37" l="1"/>
  <c r="AA15" i="37"/>
  <c r="Z16" i="37"/>
  <c r="AA16" i="37"/>
  <c r="AA9" i="37"/>
  <c r="AD69" i="29"/>
  <c r="AC69" i="29"/>
  <c r="AC44" i="29"/>
  <c r="F49" i="17"/>
  <c r="F51" i="17" s="1"/>
  <c r="F66" i="17" s="1"/>
  <c r="G39" i="8"/>
  <c r="G48" i="8"/>
  <c r="N48" i="8" s="1"/>
  <c r="O48" i="8" s="1"/>
  <c r="G85" i="8"/>
  <c r="I85" i="8"/>
  <c r="I55" i="8"/>
  <c r="G26" i="8"/>
  <c r="I26" i="8"/>
  <c r="H133" i="23"/>
  <c r="H132" i="23"/>
  <c r="H131" i="23"/>
  <c r="H127" i="23"/>
  <c r="H126" i="23"/>
  <c r="H123" i="23"/>
  <c r="H122" i="23"/>
  <c r="H120" i="23"/>
  <c r="H119" i="23"/>
  <c r="H117" i="23"/>
  <c r="H116" i="23"/>
  <c r="H115" i="23"/>
  <c r="H114" i="23"/>
  <c r="H113" i="23"/>
  <c r="H112" i="23"/>
  <c r="I112" i="23" s="1"/>
  <c r="H111" i="23"/>
  <c r="H110" i="23"/>
  <c r="H109" i="23"/>
  <c r="H108" i="23"/>
  <c r="H107" i="23"/>
  <c r="H106" i="23"/>
  <c r="H105" i="23"/>
  <c r="H104" i="23"/>
  <c r="H103" i="23"/>
  <c r="H101" i="23"/>
  <c r="H100" i="23"/>
  <c r="H99" i="23"/>
  <c r="I99" i="23" s="1"/>
  <c r="H98" i="23"/>
  <c r="H97" i="23"/>
  <c r="H93" i="23"/>
  <c r="H92" i="23"/>
  <c r="H89" i="23"/>
  <c r="F65" i="23"/>
  <c r="F66" i="23" s="1"/>
  <c r="G57" i="23"/>
  <c r="D35" i="30"/>
  <c r="D36" i="30"/>
  <c r="D32" i="30"/>
  <c r="D27" i="30"/>
  <c r="E27" i="30"/>
  <c r="F46" i="40"/>
  <c r="F44" i="40"/>
  <c r="F42" i="40"/>
  <c r="F36" i="40"/>
  <c r="F12" i="40"/>
  <c r="F13" i="40"/>
  <c r="F14" i="40"/>
  <c r="F17" i="40"/>
  <c r="F18" i="40"/>
  <c r="F20" i="40"/>
  <c r="F21" i="40"/>
  <c r="F22" i="40"/>
  <c r="F25" i="40"/>
  <c r="F27" i="40"/>
  <c r="F28" i="40"/>
  <c r="F31" i="40"/>
  <c r="E49" i="40"/>
  <c r="E51" i="40"/>
  <c r="E37" i="40"/>
  <c r="E50" i="40" s="1"/>
  <c r="F37" i="40"/>
  <c r="E33" i="40"/>
  <c r="D30" i="26"/>
  <c r="D15" i="26"/>
  <c r="G143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117" i="26"/>
  <c r="G118" i="26"/>
  <c r="G119" i="26"/>
  <c r="G120" i="26"/>
  <c r="G121" i="26"/>
  <c r="G122" i="26"/>
  <c r="G123" i="26"/>
  <c r="G124" i="26"/>
  <c r="G125" i="26"/>
  <c r="G126" i="26"/>
  <c r="G127" i="26"/>
  <c r="G128" i="26"/>
  <c r="G129" i="26"/>
  <c r="G130" i="26"/>
  <c r="G131" i="26"/>
  <c r="G132" i="26"/>
  <c r="G133" i="26"/>
  <c r="G134" i="26"/>
  <c r="G135" i="26"/>
  <c r="G136" i="26"/>
  <c r="G137" i="26"/>
  <c r="G138" i="26"/>
  <c r="G139" i="26"/>
  <c r="G140" i="26"/>
  <c r="G9" i="26"/>
  <c r="D32" i="26"/>
  <c r="D144" i="26"/>
  <c r="E144" i="26"/>
  <c r="E145" i="26"/>
  <c r="E141" i="26"/>
  <c r="F141" i="26"/>
  <c r="F66" i="39"/>
  <c r="G66" i="39"/>
  <c r="F57" i="39"/>
  <c r="G57" i="39"/>
  <c r="G67" i="39" s="1"/>
  <c r="G68" i="39" s="1"/>
  <c r="F44" i="39"/>
  <c r="G44" i="39"/>
  <c r="F29" i="39"/>
  <c r="F26" i="39"/>
  <c r="G26" i="39"/>
  <c r="F60" i="2"/>
  <c r="F81" i="2"/>
  <c r="F38" i="2"/>
  <c r="F138" i="2"/>
  <c r="F139" i="2"/>
  <c r="G124" i="2"/>
  <c r="Q27" i="2"/>
  <c r="G138" i="2"/>
  <c r="G96" i="2"/>
  <c r="G91" i="2"/>
  <c r="G29" i="2"/>
  <c r="H27" i="25"/>
  <c r="H26" i="25"/>
  <c r="H25" i="25"/>
  <c r="H11" i="25"/>
  <c r="H8" i="25"/>
  <c r="H103" i="25"/>
  <c r="H104" i="25"/>
  <c r="H83" i="25"/>
  <c r="F26" i="24"/>
  <c r="K26" i="24" s="1"/>
  <c r="F25" i="24"/>
  <c r="K25" i="24" s="1"/>
  <c r="F24" i="24"/>
  <c r="K24" i="24" s="1"/>
  <c r="F10" i="24"/>
  <c r="K10" i="24" s="1"/>
  <c r="F8" i="24"/>
  <c r="K8" i="24" s="1"/>
  <c r="F76" i="24"/>
  <c r="F90" i="24" s="1"/>
  <c r="F69" i="24"/>
  <c r="H59" i="18"/>
  <c r="H58" i="18"/>
  <c r="H57" i="18"/>
  <c r="H56" i="18"/>
  <c r="H52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9" i="18"/>
  <c r="G60" i="18"/>
  <c r="G61" i="18"/>
  <c r="G62" i="18" s="1"/>
  <c r="G32" i="18"/>
  <c r="G29" i="18"/>
  <c r="G28" i="18"/>
  <c r="G27" i="18"/>
  <c r="G12" i="18"/>
  <c r="G9" i="18"/>
  <c r="G29" i="21"/>
  <c r="J29" i="21" s="1"/>
  <c r="G28" i="21"/>
  <c r="J28" i="21" s="1"/>
  <c r="G27" i="21"/>
  <c r="J27" i="21" s="1"/>
  <c r="G8" i="21"/>
  <c r="G78" i="21"/>
  <c r="G79" i="21" s="1"/>
  <c r="H28" i="19"/>
  <c r="H27" i="19"/>
  <c r="H26" i="19"/>
  <c r="H11" i="19"/>
  <c r="H8" i="19"/>
  <c r="F28" i="20"/>
  <c r="F27" i="20"/>
  <c r="F26" i="20"/>
  <c r="F13" i="20"/>
  <c r="F12" i="20"/>
  <c r="F11" i="20"/>
  <c r="F8" i="20"/>
  <c r="F58" i="20"/>
  <c r="F69" i="20"/>
  <c r="F78" i="20" s="1"/>
  <c r="F77" i="20"/>
  <c r="F10" i="8"/>
  <c r="F8" i="8"/>
  <c r="F85" i="8"/>
  <c r="G32" i="21" l="1"/>
  <c r="J8" i="21"/>
  <c r="F67" i="39"/>
  <c r="F26" i="8"/>
  <c r="N39" i="8"/>
  <c r="G86" i="8"/>
  <c r="G87" i="8" s="1"/>
  <c r="F68" i="39"/>
  <c r="F67" i="23"/>
  <c r="D37" i="30"/>
  <c r="D141" i="26"/>
  <c r="D145" i="26"/>
  <c r="F91" i="2"/>
  <c r="F140" i="2" s="1"/>
  <c r="G139" i="2"/>
  <c r="G140" i="2"/>
  <c r="H30" i="25"/>
  <c r="H105" i="25" s="1"/>
  <c r="F29" i="24"/>
  <c r="F91" i="24" s="1"/>
  <c r="G80" i="21"/>
  <c r="H31" i="19"/>
  <c r="H63" i="19" s="1"/>
  <c r="F31" i="20"/>
  <c r="F79" i="20" s="1"/>
  <c r="F86" i="8"/>
  <c r="H29" i="2"/>
  <c r="J29" i="2"/>
  <c r="O87" i="25"/>
  <c r="O88" i="25"/>
  <c r="O89" i="25"/>
  <c r="O90" i="25"/>
  <c r="O91" i="25"/>
  <c r="O92" i="25"/>
  <c r="O86" i="25"/>
  <c r="Y134" i="23"/>
  <c r="I116" i="16"/>
  <c r="F87" i="8" l="1"/>
  <c r="AB137" i="24"/>
  <c r="AB138" i="24" s="1"/>
  <c r="G24" i="32" l="1"/>
  <c r="F11" i="31"/>
  <c r="Z21" i="12"/>
  <c r="Y21" i="12"/>
  <c r="X10" i="12"/>
  <c r="Z10" i="12" s="1"/>
  <c r="X13" i="12"/>
  <c r="Z13" i="12" s="1"/>
  <c r="X15" i="12"/>
  <c r="Z15" i="12" s="1"/>
  <c r="X16" i="12"/>
  <c r="Z16" i="12" s="1"/>
  <c r="X17" i="12"/>
  <c r="Z17" i="12" s="1"/>
  <c r="X11" i="12"/>
  <c r="X12" i="12"/>
  <c r="X14" i="12"/>
  <c r="H72" i="41"/>
  <c r="I44" i="10"/>
  <c r="I45" i="10"/>
  <c r="U80" i="9"/>
  <c r="V66" i="9"/>
  <c r="U66" i="9"/>
  <c r="AG85" i="8"/>
  <c r="AF85" i="8"/>
  <c r="AH83" i="8"/>
  <c r="AH81" i="8"/>
  <c r="AH79" i="8"/>
  <c r="AI79" i="8" s="1"/>
  <c r="AH75" i="8"/>
  <c r="AI75" i="8" s="1"/>
  <c r="AH73" i="8"/>
  <c r="AH84" i="8"/>
  <c r="AH82" i="8"/>
  <c r="AH80" i="8"/>
  <c r="AI80" i="8" s="1"/>
  <c r="AH78" i="8"/>
  <c r="AH77" i="8"/>
  <c r="AH76" i="8"/>
  <c r="AH74" i="8"/>
  <c r="AI74" i="8" s="1"/>
  <c r="AH72" i="8"/>
  <c r="W69" i="8"/>
  <c r="X69" i="8"/>
  <c r="Y69" i="8"/>
  <c r="Z69" i="8"/>
  <c r="AA69" i="8"/>
  <c r="AB69" i="8"/>
  <c r="AC69" i="8"/>
  <c r="AD69" i="8"/>
  <c r="AE69" i="8"/>
  <c r="AF69" i="8"/>
  <c r="AG69" i="8"/>
  <c r="AG86" i="8" s="1"/>
  <c r="V69" i="8"/>
  <c r="AB28" i="39"/>
  <c r="AD28" i="39" s="1"/>
  <c r="V20" i="7"/>
  <c r="W17" i="7"/>
  <c r="V17" i="7"/>
  <c r="G9" i="5"/>
  <c r="F10" i="38"/>
  <c r="F11" i="38"/>
  <c r="F12" i="38"/>
  <c r="F13" i="38"/>
  <c r="F14" i="38"/>
  <c r="F15" i="38"/>
  <c r="AE99" i="2"/>
  <c r="AD99" i="2"/>
  <c r="AD93" i="2"/>
  <c r="E8" i="36"/>
  <c r="D19" i="36"/>
  <c r="D50" i="36" s="1"/>
  <c r="D29" i="36"/>
  <c r="D49" i="36"/>
  <c r="AF86" i="8" l="1"/>
  <c r="Y17" i="12"/>
  <c r="AH85" i="8"/>
  <c r="Z14" i="12"/>
  <c r="Z12" i="12"/>
  <c r="Z11" i="12"/>
  <c r="W25" i="4"/>
  <c r="L34" i="37"/>
  <c r="O34" i="37"/>
  <c r="O35" i="37" s="1"/>
  <c r="L35" i="37" l="1"/>
  <c r="W34" i="37"/>
  <c r="G30" i="5"/>
  <c r="G29" i="5"/>
  <c r="G14" i="5"/>
  <c r="G19" i="5"/>
  <c r="F13" i="5"/>
  <c r="F16" i="5"/>
  <c r="F31" i="5"/>
  <c r="W35" i="37" l="1"/>
  <c r="Y34" i="37"/>
  <c r="Y35" i="37" s="1"/>
  <c r="G13" i="5"/>
  <c r="F32" i="5"/>
  <c r="F33" i="5"/>
  <c r="Z12" i="16"/>
  <c r="J37" i="40"/>
  <c r="K37" i="40"/>
  <c r="L37" i="40"/>
  <c r="M37" i="40"/>
  <c r="N37" i="40"/>
  <c r="O37" i="40"/>
  <c r="P37" i="40"/>
  <c r="Q37" i="40"/>
  <c r="R37" i="40"/>
  <c r="S37" i="40"/>
  <c r="T37" i="40"/>
  <c r="U37" i="40"/>
  <c r="C37" i="40"/>
  <c r="W37" i="40"/>
  <c r="X36" i="40"/>
  <c r="X37" i="40" s="1"/>
  <c r="H36" i="40"/>
  <c r="H37" i="40" s="1"/>
  <c r="G36" i="40"/>
  <c r="G37" i="40" s="1"/>
  <c r="I36" i="40"/>
  <c r="I37" i="40" s="1"/>
  <c r="V37" i="40" l="1"/>
  <c r="X35" i="40"/>
  <c r="Z35" i="40" s="1"/>
  <c r="Z36" i="40"/>
  <c r="Z37" i="40" s="1"/>
  <c r="Y36" i="40"/>
  <c r="Y37" i="40" s="1"/>
  <c r="F54" i="15"/>
  <c r="N49" i="18"/>
  <c r="Y35" i="40" l="1"/>
  <c r="D75" i="16"/>
  <c r="L75" i="16"/>
  <c r="L76" i="16" s="1"/>
  <c r="L77" i="16" s="1"/>
  <c r="M75" i="16"/>
  <c r="M76" i="16" s="1"/>
  <c r="M77" i="16" s="1"/>
  <c r="N75" i="16"/>
  <c r="O75" i="16"/>
  <c r="P75" i="16"/>
  <c r="P76" i="16" s="1"/>
  <c r="P77" i="16" s="1"/>
  <c r="Q75" i="16"/>
  <c r="Q76" i="16" s="1"/>
  <c r="Q77" i="16" s="1"/>
  <c r="R75" i="16"/>
  <c r="S75" i="16"/>
  <c r="T75" i="16"/>
  <c r="T76" i="16" s="1"/>
  <c r="U75" i="16"/>
  <c r="U76" i="16" s="1"/>
  <c r="V75" i="16"/>
  <c r="W75" i="16"/>
  <c r="X75" i="16"/>
  <c r="Y75" i="16"/>
  <c r="Y76" i="16" s="1"/>
  <c r="C58" i="17"/>
  <c r="C65" i="17" s="1"/>
  <c r="AB50" i="17"/>
  <c r="L49" i="18"/>
  <c r="M49" i="18"/>
  <c r="O49" i="18"/>
  <c r="P49" i="18"/>
  <c r="Q49" i="18"/>
  <c r="R49" i="18"/>
  <c r="S49" i="18"/>
  <c r="T49" i="18"/>
  <c r="U49" i="18"/>
  <c r="V49" i="18"/>
  <c r="W49" i="18"/>
  <c r="L60" i="18"/>
  <c r="M60" i="18"/>
  <c r="N60" i="18"/>
  <c r="O60" i="18"/>
  <c r="P60" i="18"/>
  <c r="Q60" i="18"/>
  <c r="R60" i="18"/>
  <c r="S60" i="18"/>
  <c r="U60" i="18"/>
  <c r="V60" i="18"/>
  <c r="W60" i="18"/>
  <c r="C60" i="18"/>
  <c r="L32" i="18"/>
  <c r="M32" i="18"/>
  <c r="N32" i="18"/>
  <c r="O32" i="18"/>
  <c r="P32" i="18"/>
  <c r="Q32" i="18"/>
  <c r="R32" i="18"/>
  <c r="S32" i="18"/>
  <c r="T32" i="18"/>
  <c r="T62" i="18" s="1"/>
  <c r="U32" i="18"/>
  <c r="V32" i="18"/>
  <c r="W32" i="18"/>
  <c r="C32" i="18"/>
  <c r="Z61" i="19"/>
  <c r="C61" i="19"/>
  <c r="O55" i="19"/>
  <c r="P55" i="19"/>
  <c r="Q55" i="19"/>
  <c r="R55" i="19"/>
  <c r="S55" i="19"/>
  <c r="T55" i="19"/>
  <c r="U55" i="19"/>
  <c r="V55" i="19"/>
  <c r="W55" i="19"/>
  <c r="AB55" i="19" s="1"/>
  <c r="X55" i="19"/>
  <c r="Y55" i="19"/>
  <c r="Z55" i="19"/>
  <c r="Z62" i="19" s="1"/>
  <c r="Z63" i="19" s="1"/>
  <c r="O49" i="19"/>
  <c r="P49" i="19"/>
  <c r="Q49" i="19"/>
  <c r="R49" i="19"/>
  <c r="S49" i="19"/>
  <c r="T49" i="19"/>
  <c r="U49" i="19"/>
  <c r="V49" i="19"/>
  <c r="W49" i="19"/>
  <c r="X49" i="19"/>
  <c r="Y49" i="19"/>
  <c r="Z49" i="19"/>
  <c r="O31" i="19"/>
  <c r="P31" i="19"/>
  <c r="Q31" i="19"/>
  <c r="R31" i="19"/>
  <c r="S31" i="19"/>
  <c r="T31" i="19"/>
  <c r="U31" i="19"/>
  <c r="V31" i="19"/>
  <c r="W31" i="19"/>
  <c r="X31" i="19"/>
  <c r="Y31" i="19"/>
  <c r="Z31" i="19"/>
  <c r="G77" i="20"/>
  <c r="P77" i="20"/>
  <c r="Q77" i="20"/>
  <c r="R77" i="20"/>
  <c r="S77" i="20"/>
  <c r="T77" i="20"/>
  <c r="U77" i="20"/>
  <c r="V77" i="20"/>
  <c r="W77" i="20"/>
  <c r="X77" i="20"/>
  <c r="Y77" i="20"/>
  <c r="Z77" i="20"/>
  <c r="AA77" i="20"/>
  <c r="P69" i="20"/>
  <c r="P78" i="20" s="1"/>
  <c r="P79" i="20" s="1"/>
  <c r="Q69" i="20"/>
  <c r="Q78" i="20" s="1"/>
  <c r="R69" i="20"/>
  <c r="S69" i="20"/>
  <c r="T69" i="20"/>
  <c r="T78" i="20" s="1"/>
  <c r="T79" i="20" s="1"/>
  <c r="U69" i="20"/>
  <c r="U78" i="20" s="1"/>
  <c r="V69" i="20"/>
  <c r="W69" i="20"/>
  <c r="X69" i="20"/>
  <c r="X78" i="20" s="1"/>
  <c r="Y69" i="20"/>
  <c r="Y78" i="20" s="1"/>
  <c r="Z69" i="20"/>
  <c r="AA69" i="20"/>
  <c r="C69" i="20"/>
  <c r="G31" i="20"/>
  <c r="P31" i="20"/>
  <c r="Q31" i="20"/>
  <c r="R31" i="20"/>
  <c r="S31" i="20"/>
  <c r="T31" i="20"/>
  <c r="U31" i="20"/>
  <c r="V31" i="20"/>
  <c r="W31" i="20"/>
  <c r="X31" i="20"/>
  <c r="Y31" i="20"/>
  <c r="Z31" i="20"/>
  <c r="AA31" i="20"/>
  <c r="G58" i="20"/>
  <c r="P58" i="20"/>
  <c r="Q58" i="20"/>
  <c r="R58" i="20"/>
  <c r="S58" i="20"/>
  <c r="T58" i="20"/>
  <c r="U58" i="20"/>
  <c r="V58" i="20"/>
  <c r="W58" i="20"/>
  <c r="Y58" i="20"/>
  <c r="Z58" i="20"/>
  <c r="AA58" i="20"/>
  <c r="C31" i="20"/>
  <c r="AC10" i="21"/>
  <c r="I177" i="22"/>
  <c r="I178" i="22" s="1"/>
  <c r="K177" i="22"/>
  <c r="K178" i="22" s="1"/>
  <c r="P177" i="22"/>
  <c r="P178" i="22" s="1"/>
  <c r="Q177" i="22"/>
  <c r="Q178" i="22" s="1"/>
  <c r="R177" i="22"/>
  <c r="R178" i="22" s="1"/>
  <c r="S177" i="22"/>
  <c r="S178" i="22" s="1"/>
  <c r="T177" i="22"/>
  <c r="T178" i="22" s="1"/>
  <c r="V177" i="22"/>
  <c r="V178" i="22" s="1"/>
  <c r="W177" i="22"/>
  <c r="W178" i="22" s="1"/>
  <c r="X177" i="22"/>
  <c r="X178" i="22" s="1"/>
  <c r="Y177" i="22"/>
  <c r="Y178" i="22" s="1"/>
  <c r="Z177" i="22"/>
  <c r="Z178" i="22" s="1"/>
  <c r="AA177" i="22"/>
  <c r="AA178" i="22" s="1"/>
  <c r="C105" i="22"/>
  <c r="C106" i="22" s="1"/>
  <c r="K98" i="22"/>
  <c r="K106" i="22" s="1"/>
  <c r="P98" i="22"/>
  <c r="P106" i="22" s="1"/>
  <c r="Q98" i="22"/>
  <c r="Q106" i="22" s="1"/>
  <c r="R98" i="22"/>
  <c r="R106" i="22" s="1"/>
  <c r="S98" i="22"/>
  <c r="S106" i="22" s="1"/>
  <c r="T98" i="22"/>
  <c r="T106" i="22" s="1"/>
  <c r="U98" i="22"/>
  <c r="U106" i="22" s="1"/>
  <c r="V98" i="22"/>
  <c r="V106" i="22" s="1"/>
  <c r="W98" i="22"/>
  <c r="W106" i="22" s="1"/>
  <c r="X98" i="22"/>
  <c r="X106" i="22" s="1"/>
  <c r="Y98" i="22"/>
  <c r="Y106" i="22" s="1"/>
  <c r="Z98" i="22"/>
  <c r="Z106" i="22" s="1"/>
  <c r="AA98" i="22"/>
  <c r="AA106" i="22" s="1"/>
  <c r="C98" i="22"/>
  <c r="K88" i="22"/>
  <c r="P88" i="22"/>
  <c r="R88" i="22"/>
  <c r="S88" i="22"/>
  <c r="U88" i="22"/>
  <c r="V88" i="22"/>
  <c r="W88" i="22"/>
  <c r="X88" i="22"/>
  <c r="Y88" i="22"/>
  <c r="Z88" i="22"/>
  <c r="AA88" i="22"/>
  <c r="K33" i="22"/>
  <c r="P33" i="22"/>
  <c r="Q33" i="22"/>
  <c r="R33" i="22"/>
  <c r="S33" i="22"/>
  <c r="T33" i="22"/>
  <c r="U33" i="22"/>
  <c r="V33" i="22"/>
  <c r="W33" i="22"/>
  <c r="X33" i="22"/>
  <c r="Y33" i="22"/>
  <c r="Z33" i="22"/>
  <c r="AA33" i="22"/>
  <c r="M57" i="23"/>
  <c r="N57" i="23"/>
  <c r="O57" i="23"/>
  <c r="P57" i="23"/>
  <c r="Q57" i="23"/>
  <c r="R57" i="23"/>
  <c r="S57" i="23"/>
  <c r="T57" i="23"/>
  <c r="U57" i="23"/>
  <c r="V57" i="23"/>
  <c r="W57" i="23"/>
  <c r="L30" i="23"/>
  <c r="M30" i="23"/>
  <c r="N30" i="23"/>
  <c r="O30" i="23"/>
  <c r="P30" i="23"/>
  <c r="Q30" i="23"/>
  <c r="R30" i="23"/>
  <c r="S30" i="23"/>
  <c r="T30" i="23"/>
  <c r="U30" i="23"/>
  <c r="V30" i="23"/>
  <c r="W30" i="23"/>
  <c r="C30" i="23"/>
  <c r="O76" i="24"/>
  <c r="O90" i="24" s="1"/>
  <c r="P76" i="24"/>
  <c r="P90" i="24" s="1"/>
  <c r="Q76" i="24"/>
  <c r="Q90" i="24" s="1"/>
  <c r="R76" i="24"/>
  <c r="R90" i="24" s="1"/>
  <c r="S76" i="24"/>
  <c r="S90" i="24" s="1"/>
  <c r="T76" i="24"/>
  <c r="T90" i="24" s="1"/>
  <c r="U76" i="24"/>
  <c r="U90" i="24" s="1"/>
  <c r="V76" i="24"/>
  <c r="V90" i="24" s="1"/>
  <c r="W76" i="24"/>
  <c r="W90" i="24" s="1"/>
  <c r="X76" i="24"/>
  <c r="X90" i="24" s="1"/>
  <c r="Y76" i="24"/>
  <c r="Y90" i="24" s="1"/>
  <c r="Z76" i="24"/>
  <c r="Z90" i="24" s="1"/>
  <c r="C76" i="24"/>
  <c r="J91" i="24"/>
  <c r="O69" i="24"/>
  <c r="P69" i="24"/>
  <c r="Q69" i="24"/>
  <c r="R69" i="24"/>
  <c r="S69" i="24"/>
  <c r="T69" i="24"/>
  <c r="U69" i="24"/>
  <c r="V69" i="24"/>
  <c r="W69" i="24"/>
  <c r="X69" i="24"/>
  <c r="Y69" i="24"/>
  <c r="Z69" i="24"/>
  <c r="O93" i="25"/>
  <c r="K90" i="29"/>
  <c r="K95" i="29"/>
  <c r="K77" i="29"/>
  <c r="F30" i="29"/>
  <c r="G30" i="29"/>
  <c r="I30" i="29"/>
  <c r="F47" i="29"/>
  <c r="G47" i="29"/>
  <c r="I47" i="29"/>
  <c r="N47" i="29"/>
  <c r="O47" i="29"/>
  <c r="P47" i="29"/>
  <c r="Q47" i="29"/>
  <c r="R47" i="29"/>
  <c r="S47" i="29"/>
  <c r="T47" i="29"/>
  <c r="U47" i="29"/>
  <c r="V47" i="29"/>
  <c r="W47" i="29"/>
  <c r="X47" i="29"/>
  <c r="Y47" i="29"/>
  <c r="C47" i="29"/>
  <c r="C30" i="29"/>
  <c r="C103" i="25"/>
  <c r="M103" i="25"/>
  <c r="Z10" i="26"/>
  <c r="Z133" i="26"/>
  <c r="G20" i="7"/>
  <c r="H20" i="7"/>
  <c r="J20" i="7"/>
  <c r="K20" i="7"/>
  <c r="L20" i="7"/>
  <c r="M20" i="7"/>
  <c r="N20" i="7"/>
  <c r="O20" i="7"/>
  <c r="P20" i="7"/>
  <c r="Q20" i="7"/>
  <c r="R20" i="7"/>
  <c r="S20" i="7"/>
  <c r="T20" i="7"/>
  <c r="U20" i="7"/>
  <c r="G14" i="7"/>
  <c r="H14" i="7"/>
  <c r="J14" i="7"/>
  <c r="K14" i="7"/>
  <c r="L14" i="7"/>
  <c r="M14" i="7"/>
  <c r="N14" i="7"/>
  <c r="O14" i="7"/>
  <c r="P14" i="7"/>
  <c r="Q14" i="7"/>
  <c r="R14" i="7"/>
  <c r="R22" i="7" s="1"/>
  <c r="S14" i="7"/>
  <c r="T14" i="7"/>
  <c r="U14" i="7"/>
  <c r="C31" i="5"/>
  <c r="J26" i="5"/>
  <c r="K26" i="5"/>
  <c r="M26" i="5"/>
  <c r="N26" i="5"/>
  <c r="O26" i="5"/>
  <c r="P26" i="5"/>
  <c r="Q26" i="5"/>
  <c r="R26" i="5"/>
  <c r="S26" i="5"/>
  <c r="U26" i="5"/>
  <c r="V26" i="5"/>
  <c r="W26" i="5"/>
  <c r="X26" i="5"/>
  <c r="Y24" i="4"/>
  <c r="C8" i="4"/>
  <c r="F8" i="4" s="1"/>
  <c r="H138" i="2"/>
  <c r="J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J124" i="2"/>
  <c r="O124" i="2"/>
  <c r="O139" i="2" s="1"/>
  <c r="P124" i="2"/>
  <c r="Q124" i="2"/>
  <c r="R124" i="2"/>
  <c r="S124" i="2"/>
  <c r="S139" i="2" s="1"/>
  <c r="T124" i="2"/>
  <c r="U124" i="2"/>
  <c r="V124" i="2"/>
  <c r="W124" i="2"/>
  <c r="W139" i="2" s="1"/>
  <c r="X124" i="2"/>
  <c r="Y124" i="2"/>
  <c r="Z124" i="2"/>
  <c r="C124" i="2"/>
  <c r="H91" i="2"/>
  <c r="O91" i="2"/>
  <c r="Q91" i="2"/>
  <c r="T91" i="2"/>
  <c r="U91" i="2"/>
  <c r="V91" i="2"/>
  <c r="W91" i="2"/>
  <c r="X91" i="2"/>
  <c r="Y91" i="2"/>
  <c r="Z91" i="2"/>
  <c r="O29" i="2"/>
  <c r="P29" i="2"/>
  <c r="R29" i="2"/>
  <c r="S29" i="2"/>
  <c r="T29" i="2"/>
  <c r="U29" i="2"/>
  <c r="V29" i="2"/>
  <c r="W29" i="2"/>
  <c r="X29" i="2"/>
  <c r="Y29" i="2"/>
  <c r="Z29" i="2"/>
  <c r="AE126" i="2"/>
  <c r="AD126" i="2"/>
  <c r="P107" i="22" l="1"/>
  <c r="AA55" i="19"/>
  <c r="X79" i="20"/>
  <c r="X107" i="22"/>
  <c r="AA107" i="22"/>
  <c r="W107" i="22"/>
  <c r="S107" i="22"/>
  <c r="K107" i="22"/>
  <c r="Z107" i="22"/>
  <c r="R107" i="22"/>
  <c r="Y107" i="22"/>
  <c r="U107" i="22"/>
  <c r="V107" i="22"/>
  <c r="U79" i="20"/>
  <c r="Y79" i="20"/>
  <c r="Q79" i="20"/>
  <c r="Y139" i="2"/>
  <c r="U139" i="2"/>
  <c r="Q139" i="2"/>
  <c r="X76" i="16"/>
  <c r="X139" i="2"/>
  <c r="T139" i="2"/>
  <c r="T140" i="2" s="1"/>
  <c r="P139" i="2"/>
  <c r="L77" i="29"/>
  <c r="Z139" i="2"/>
  <c r="V139" i="2"/>
  <c r="R139" i="2"/>
  <c r="J139" i="2"/>
  <c r="AA78" i="20"/>
  <c r="AA79" i="20" s="1"/>
  <c r="W78" i="20"/>
  <c r="W79" i="20" s="1"/>
  <c r="S78" i="20"/>
  <c r="S79" i="20" s="1"/>
  <c r="Z78" i="20"/>
  <c r="Z79" i="20" s="1"/>
  <c r="V78" i="20"/>
  <c r="V79" i="20" s="1"/>
  <c r="R78" i="20"/>
  <c r="R79" i="20" s="1"/>
  <c r="W76" i="16"/>
  <c r="W77" i="16" s="1"/>
  <c r="S76" i="16"/>
  <c r="O76" i="16"/>
  <c r="O77" i="16" s="1"/>
  <c r="V76" i="16"/>
  <c r="V77" i="16" s="1"/>
  <c r="R76" i="16"/>
  <c r="N76" i="16"/>
  <c r="N77" i="16" s="1"/>
  <c r="C30" i="16"/>
  <c r="F49" i="36" l="1"/>
  <c r="I49" i="36"/>
  <c r="J49" i="36"/>
  <c r="K49" i="36"/>
  <c r="M49" i="36"/>
  <c r="N49" i="36"/>
  <c r="O49" i="36"/>
  <c r="P49" i="36"/>
  <c r="Q49" i="36"/>
  <c r="R49" i="36"/>
  <c r="S49" i="36"/>
  <c r="T49" i="36"/>
  <c r="C49" i="36"/>
  <c r="C29" i="36"/>
  <c r="F19" i="36"/>
  <c r="I19" i="36"/>
  <c r="J19" i="36"/>
  <c r="K19" i="36"/>
  <c r="L19" i="36"/>
  <c r="M19" i="36"/>
  <c r="N19" i="36"/>
  <c r="O19" i="36"/>
  <c r="P19" i="36"/>
  <c r="Q19" i="36"/>
  <c r="R19" i="36"/>
  <c r="S19" i="36"/>
  <c r="T19" i="36"/>
  <c r="C19" i="36"/>
  <c r="I29" i="36"/>
  <c r="J29" i="36"/>
  <c r="L29" i="36"/>
  <c r="M29" i="36"/>
  <c r="N29" i="36"/>
  <c r="O29" i="36"/>
  <c r="P29" i="36"/>
  <c r="Q29" i="36"/>
  <c r="R29" i="36"/>
  <c r="S29" i="36"/>
  <c r="T29" i="36"/>
  <c r="F29" i="36"/>
  <c r="M22" i="36"/>
  <c r="T85" i="22"/>
  <c r="T88" i="22" s="1"/>
  <c r="T107" i="22" s="1"/>
  <c r="S80" i="2" l="1"/>
  <c r="S91" i="2" l="1"/>
  <c r="AC70" i="24"/>
  <c r="AE70" i="24" s="1"/>
  <c r="V29" i="24"/>
  <c r="V91" i="24" s="1"/>
  <c r="W29" i="24"/>
  <c r="W91" i="24" s="1"/>
  <c r="X29" i="24"/>
  <c r="X91" i="24" s="1"/>
  <c r="Y29" i="24"/>
  <c r="Y91" i="24" s="1"/>
  <c r="Z29" i="24"/>
  <c r="Z91" i="24" s="1"/>
  <c r="P29" i="24"/>
  <c r="P91" i="24" s="1"/>
  <c r="Q29" i="24"/>
  <c r="Q91" i="24" s="1"/>
  <c r="R29" i="24"/>
  <c r="R91" i="24" s="1"/>
  <c r="S29" i="24"/>
  <c r="S91" i="24" s="1"/>
  <c r="T29" i="24"/>
  <c r="T91" i="24" s="1"/>
  <c r="U29" i="24"/>
  <c r="U91" i="24" s="1"/>
  <c r="O29" i="24"/>
  <c r="O91" i="24" s="1"/>
  <c r="AD70" i="24" l="1"/>
  <c r="G20" i="44"/>
  <c r="H20" i="44"/>
  <c r="H21" i="44" s="1"/>
  <c r="J20" i="44"/>
  <c r="J21" i="44" s="1"/>
  <c r="K20" i="44"/>
  <c r="K21" i="44" s="1"/>
  <c r="L20" i="44"/>
  <c r="L21" i="44" s="1"/>
  <c r="M20" i="44"/>
  <c r="M21" i="44" s="1"/>
  <c r="N20" i="44"/>
  <c r="N21" i="44" s="1"/>
  <c r="O20" i="44"/>
  <c r="P20" i="44"/>
  <c r="P21" i="44" s="1"/>
  <c r="Q20" i="44"/>
  <c r="Q21" i="44" s="1"/>
  <c r="R20" i="44"/>
  <c r="R21" i="44" s="1"/>
  <c r="S20" i="44"/>
  <c r="S21" i="44" s="1"/>
  <c r="T20" i="44"/>
  <c r="T21" i="44" s="1"/>
  <c r="U20" i="44"/>
  <c r="U21" i="44" s="1"/>
  <c r="X20" i="44"/>
  <c r="X21" i="44" s="1"/>
  <c r="G21" i="44"/>
  <c r="O21" i="44"/>
  <c r="C20" i="44"/>
  <c r="C21" i="44" s="1"/>
  <c r="F60" i="13"/>
  <c r="F61" i="13" s="1"/>
  <c r="K60" i="13"/>
  <c r="L60" i="13"/>
  <c r="L61" i="13" s="1"/>
  <c r="M60" i="13"/>
  <c r="N60" i="13"/>
  <c r="N61" i="13" s="1"/>
  <c r="O60" i="13"/>
  <c r="P60" i="13"/>
  <c r="P61" i="13" s="1"/>
  <c r="Q60" i="13"/>
  <c r="R60" i="13"/>
  <c r="R61" i="13" s="1"/>
  <c r="S60" i="13"/>
  <c r="T60" i="13"/>
  <c r="T61" i="13" s="1"/>
  <c r="U60" i="13"/>
  <c r="V60" i="13"/>
  <c r="V61" i="13" s="1"/>
  <c r="F53" i="13"/>
  <c r="K53" i="13"/>
  <c r="K61" i="13" s="1"/>
  <c r="K62" i="13" s="1"/>
  <c r="L53" i="13"/>
  <c r="M53" i="13"/>
  <c r="N53" i="13"/>
  <c r="O53" i="13"/>
  <c r="O61" i="13" s="1"/>
  <c r="P53" i="13"/>
  <c r="Q53" i="13"/>
  <c r="R53" i="13"/>
  <c r="S53" i="13"/>
  <c r="S61" i="13" s="1"/>
  <c r="T53" i="13"/>
  <c r="U53" i="13"/>
  <c r="V53" i="13"/>
  <c r="E42" i="13"/>
  <c r="F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C42" i="13"/>
  <c r="C113" i="42"/>
  <c r="I13" i="41"/>
  <c r="I21" i="41"/>
  <c r="I39" i="41"/>
  <c r="I40" i="41"/>
  <c r="I63" i="41"/>
  <c r="I65" i="9"/>
  <c r="J65" i="9"/>
  <c r="L65" i="9"/>
  <c r="M65" i="9"/>
  <c r="N65" i="9"/>
  <c r="O65" i="9"/>
  <c r="P65" i="9"/>
  <c r="Q65" i="9"/>
  <c r="R65" i="9"/>
  <c r="S65" i="9"/>
  <c r="T65" i="9"/>
  <c r="S62" i="13" l="1"/>
  <c r="T62" i="13"/>
  <c r="P62" i="13"/>
  <c r="L62" i="13"/>
  <c r="R62" i="13"/>
  <c r="V62" i="13"/>
  <c r="N62" i="13"/>
  <c r="F62" i="13"/>
  <c r="U61" i="13"/>
  <c r="U62" i="13" s="1"/>
  <c r="Q61" i="13"/>
  <c r="Q62" i="13" s="1"/>
  <c r="M61" i="13"/>
  <c r="M62" i="13" s="1"/>
  <c r="O62" i="13"/>
  <c r="L27" i="5" l="1"/>
  <c r="L28" i="5"/>
  <c r="L29" i="5"/>
  <c r="L30" i="5"/>
  <c r="AA47" i="29" l="1"/>
  <c r="AF102" i="25"/>
  <c r="AF101" i="25"/>
  <c r="AF100" i="25"/>
  <c r="AF99" i="25"/>
  <c r="AF98" i="25"/>
  <c r="AF97" i="25"/>
  <c r="AF96" i="25"/>
  <c r="AC88" i="24"/>
  <c r="AC87" i="24"/>
  <c r="AE87" i="24" s="1"/>
  <c r="AC86" i="24"/>
  <c r="AE86" i="24" s="1"/>
  <c r="AC85" i="24"/>
  <c r="AE85" i="24" s="1"/>
  <c r="AC84" i="24"/>
  <c r="AE84" i="24" s="1"/>
  <c r="AC82" i="24"/>
  <c r="AE82" i="24" s="1"/>
  <c r="AC81" i="24"/>
  <c r="AE81" i="24" s="1"/>
  <c r="AC80" i="24"/>
  <c r="AE80" i="24" s="1"/>
  <c r="AC79" i="24"/>
  <c r="AE79" i="24" s="1"/>
  <c r="AC75" i="24"/>
  <c r="AE75" i="24" s="1"/>
  <c r="AC73" i="24"/>
  <c r="AE73" i="24" s="1"/>
  <c r="AB76" i="24"/>
  <c r="AB90" i="24" s="1"/>
  <c r="AC71" i="24"/>
  <c r="AC68" i="24"/>
  <c r="AE68" i="24" s="1"/>
  <c r="AC67" i="24"/>
  <c r="AE67" i="24" s="1"/>
  <c r="AC65" i="24"/>
  <c r="AE65" i="24" s="1"/>
  <c r="AC63" i="24"/>
  <c r="AE63" i="24" s="1"/>
  <c r="AC61" i="24"/>
  <c r="AE61" i="24" s="1"/>
  <c r="AC59" i="24"/>
  <c r="AE59" i="24" s="1"/>
  <c r="AC55" i="24"/>
  <c r="AE55" i="24" s="1"/>
  <c r="AC53" i="24"/>
  <c r="AE53" i="24" s="1"/>
  <c r="AC52" i="24"/>
  <c r="AE52" i="24" s="1"/>
  <c r="AC50" i="24"/>
  <c r="AC48" i="24"/>
  <c r="AC47" i="24"/>
  <c r="AC46" i="24"/>
  <c r="AC44" i="24"/>
  <c r="AE44" i="24" s="1"/>
  <c r="AC42" i="24"/>
  <c r="AE42" i="24" s="1"/>
  <c r="AC38" i="24"/>
  <c r="AE38" i="24" s="1"/>
  <c r="AC37" i="24"/>
  <c r="AC36" i="24"/>
  <c r="AE36" i="24" s="1"/>
  <c r="AC34" i="24"/>
  <c r="AE34" i="24" s="1"/>
  <c r="AC9" i="24"/>
  <c r="AC10" i="24"/>
  <c r="AE10" i="24" s="1"/>
  <c r="AC12" i="24"/>
  <c r="AE12" i="24" s="1"/>
  <c r="AC13" i="24"/>
  <c r="AE13" i="24" s="1"/>
  <c r="AC15" i="24"/>
  <c r="AE15" i="24" s="1"/>
  <c r="AC17" i="24"/>
  <c r="AE17" i="24" s="1"/>
  <c r="AC18" i="24"/>
  <c r="AE18" i="24" s="1"/>
  <c r="AC19" i="24"/>
  <c r="AE19" i="24" s="1"/>
  <c r="AC21" i="24"/>
  <c r="AE21" i="24" s="1"/>
  <c r="AC23" i="24"/>
  <c r="AE23" i="24" s="1"/>
  <c r="AC24" i="24"/>
  <c r="AE24" i="24" s="1"/>
  <c r="AC26" i="24"/>
  <c r="AE26" i="24" s="1"/>
  <c r="AC177" i="22"/>
  <c r="AC178" i="22" s="1"/>
  <c r="AB98" i="22"/>
  <c r="AB106" i="22" s="1"/>
  <c r="AB33" i="22"/>
  <c r="AC77" i="20"/>
  <c r="AD63" i="20"/>
  <c r="AD56" i="20"/>
  <c r="AD54" i="20"/>
  <c r="AD52" i="20"/>
  <c r="AD50" i="20"/>
  <c r="AD48" i="20"/>
  <c r="AD46" i="20"/>
  <c r="AD44" i="20"/>
  <c r="AD42" i="20"/>
  <c r="AD40" i="20"/>
  <c r="AD38" i="20"/>
  <c r="AD36" i="20"/>
  <c r="AD10" i="20"/>
  <c r="AD12" i="20"/>
  <c r="AD14" i="20"/>
  <c r="AD16" i="20"/>
  <c r="AD18" i="20"/>
  <c r="AD20" i="20"/>
  <c r="AD22" i="20"/>
  <c r="AD24" i="20"/>
  <c r="AD26" i="20"/>
  <c r="AD28" i="20"/>
  <c r="AB49" i="19"/>
  <c r="X60" i="18"/>
  <c r="Y32" i="18"/>
  <c r="X22" i="31"/>
  <c r="Y53" i="14"/>
  <c r="Y51" i="14"/>
  <c r="Y46" i="14"/>
  <c r="Y44" i="14"/>
  <c r="Y42" i="14"/>
  <c r="Y40" i="14"/>
  <c r="Y38" i="14"/>
  <c r="Y10" i="14"/>
  <c r="Y12" i="14"/>
  <c r="Y13" i="14"/>
  <c r="Y16" i="14"/>
  <c r="Y17" i="14"/>
  <c r="Y18" i="14"/>
  <c r="Y19" i="14"/>
  <c r="Y20" i="14"/>
  <c r="Y22" i="14"/>
  <c r="Y24" i="14"/>
  <c r="Y28" i="14"/>
  <c r="Y30" i="14"/>
  <c r="Y32" i="14"/>
  <c r="Y33" i="14"/>
  <c r="Y34" i="14"/>
  <c r="W21" i="44"/>
  <c r="X31" i="40"/>
  <c r="W20" i="7"/>
  <c r="W21" i="7" s="1"/>
  <c r="H29" i="5"/>
  <c r="H30" i="5"/>
  <c r="AB91" i="2"/>
  <c r="AH97" i="25" l="1"/>
  <c r="AH101" i="25"/>
  <c r="AH102" i="25"/>
  <c r="AH96" i="25"/>
  <c r="AH100" i="25"/>
  <c r="AH99" i="25"/>
  <c r="AH98" i="25"/>
  <c r="AE88" i="24"/>
  <c r="AD88" i="24"/>
  <c r="AD71" i="24"/>
  <c r="AE71" i="24"/>
  <c r="AE47" i="24"/>
  <c r="AD47" i="24"/>
  <c r="AD9" i="24"/>
  <c r="AE9" i="24"/>
  <c r="AA31" i="19"/>
  <c r="AC8" i="19"/>
  <c r="W42" i="13"/>
  <c r="W53" i="13"/>
  <c r="W60" i="13"/>
  <c r="Z38" i="14"/>
  <c r="AA38" i="14"/>
  <c r="AA124" i="2"/>
  <c r="V14" i="7"/>
  <c r="Z66" i="39"/>
  <c r="V65" i="9"/>
  <c r="X42" i="13"/>
  <c r="X53" i="13"/>
  <c r="X60" i="13"/>
  <c r="V21" i="44"/>
  <c r="Y8" i="14"/>
  <c r="AA8" i="14" s="1"/>
  <c r="Y31" i="14"/>
  <c r="Y29" i="14"/>
  <c r="Y27" i="14"/>
  <c r="Y25" i="14"/>
  <c r="Y23" i="14"/>
  <c r="Y21" i="14"/>
  <c r="Y15" i="14"/>
  <c r="Y11" i="14"/>
  <c r="Y9" i="14"/>
  <c r="AB29" i="2"/>
  <c r="AB124" i="2"/>
  <c r="W14" i="7"/>
  <c r="W22" i="7" s="1"/>
  <c r="Y26" i="14"/>
  <c r="Y14" i="14"/>
  <c r="Y37" i="14"/>
  <c r="Y39" i="14"/>
  <c r="Y41" i="14"/>
  <c r="Y43" i="14"/>
  <c r="Y45" i="14"/>
  <c r="Y50" i="14"/>
  <c r="Y52" i="14"/>
  <c r="Y54" i="14"/>
  <c r="Z34" i="18"/>
  <c r="X49" i="18"/>
  <c r="X32" i="18"/>
  <c r="AB31" i="19"/>
  <c r="AB58" i="20"/>
  <c r="AD34" i="20"/>
  <c r="AD61" i="20"/>
  <c r="AD65" i="20"/>
  <c r="AD67" i="20"/>
  <c r="AD73" i="20"/>
  <c r="AD75" i="20"/>
  <c r="AC88" i="22"/>
  <c r="AC98" i="22"/>
  <c r="AC106" i="22" s="1"/>
  <c r="AC28" i="24"/>
  <c r="AE28" i="24" s="1"/>
  <c r="AC22" i="24"/>
  <c r="AE22" i="24" s="1"/>
  <c r="AC20" i="24"/>
  <c r="AE20" i="24" s="1"/>
  <c r="AC16" i="24"/>
  <c r="AE16" i="24" s="1"/>
  <c r="AC14" i="24"/>
  <c r="AE14" i="24" s="1"/>
  <c r="AC40" i="24"/>
  <c r="AE40" i="24" s="1"/>
  <c r="Y49" i="18"/>
  <c r="Y60" i="18"/>
  <c r="AA49" i="19"/>
  <c r="AC31" i="20"/>
  <c r="AD29" i="20"/>
  <c r="AD27" i="20"/>
  <c r="AD25" i="20"/>
  <c r="AD23" i="20"/>
  <c r="AD21" i="20"/>
  <c r="AD19" i="20"/>
  <c r="AD17" i="20"/>
  <c r="AD15" i="20"/>
  <c r="AD13" i="20"/>
  <c r="AD11" i="20"/>
  <c r="AB31" i="20"/>
  <c r="AD9" i="20"/>
  <c r="AC58" i="20"/>
  <c r="AC78" i="20"/>
  <c r="AB177" i="22"/>
  <c r="AB178" i="22" s="1"/>
  <c r="X30" i="23"/>
  <c r="AC27" i="24"/>
  <c r="AE27" i="24" s="1"/>
  <c r="AC25" i="24"/>
  <c r="AE25" i="24" s="1"/>
  <c r="AC11" i="24"/>
  <c r="AE11" i="24" s="1"/>
  <c r="AC33" i="24"/>
  <c r="AE33" i="24" s="1"/>
  <c r="AC35" i="24"/>
  <c r="AC39" i="24"/>
  <c r="AE39" i="24" s="1"/>
  <c r="AC41" i="24"/>
  <c r="AE41" i="24" s="1"/>
  <c r="AC43" i="24"/>
  <c r="AC45" i="24"/>
  <c r="AC49" i="24"/>
  <c r="AE49" i="24" s="1"/>
  <c r="AC51" i="24"/>
  <c r="AE51" i="24" s="1"/>
  <c r="AC57" i="24"/>
  <c r="AE57" i="24" s="1"/>
  <c r="Z47" i="29"/>
  <c r="U19" i="36"/>
  <c r="V49" i="36"/>
  <c r="AD35" i="20"/>
  <c r="AD37" i="20"/>
  <c r="AD39" i="20"/>
  <c r="AD41" i="20"/>
  <c r="AD43" i="20"/>
  <c r="AD45" i="20"/>
  <c r="AD47" i="20"/>
  <c r="AD49" i="20"/>
  <c r="AD51" i="20"/>
  <c r="AD53" i="20"/>
  <c r="AD55" i="20"/>
  <c r="AD57" i="20"/>
  <c r="AD62" i="20"/>
  <c r="AD64" i="20"/>
  <c r="AD66" i="20"/>
  <c r="AD68" i="20"/>
  <c r="AD72" i="20"/>
  <c r="AB77" i="20"/>
  <c r="AD74" i="20"/>
  <c r="AD76" i="20"/>
  <c r="AC33" i="22"/>
  <c r="Y30" i="23"/>
  <c r="AC54" i="24"/>
  <c r="AC56" i="24"/>
  <c r="AC58" i="24"/>
  <c r="AE58" i="24" s="1"/>
  <c r="AC60" i="24"/>
  <c r="AE60" i="24" s="1"/>
  <c r="AC62" i="24"/>
  <c r="AE62" i="24" s="1"/>
  <c r="AC64" i="24"/>
  <c r="AE64" i="24" s="1"/>
  <c r="AC66" i="24"/>
  <c r="AE66" i="24" s="1"/>
  <c r="AA76" i="24"/>
  <c r="AA90" i="24" s="1"/>
  <c r="AC72" i="24"/>
  <c r="AE72" i="24" s="1"/>
  <c r="AC74" i="24"/>
  <c r="AE74" i="24" s="1"/>
  <c r="V19" i="36"/>
  <c r="Y31" i="40"/>
  <c r="Y57" i="23"/>
  <c r="AA29" i="24"/>
  <c r="AB29" i="24"/>
  <c r="AC107" i="22" l="1"/>
  <c r="AA91" i="24"/>
  <c r="AB78" i="20"/>
  <c r="AB79" i="20" s="1"/>
  <c r="AB91" i="24"/>
  <c r="AC79" i="20"/>
  <c r="AD77" i="20"/>
  <c r="X61" i="13"/>
  <c r="X62" i="13" s="1"/>
  <c r="AA37" i="14"/>
  <c r="Z37" i="14"/>
  <c r="AD58" i="20"/>
  <c r="AC76" i="24"/>
  <c r="AD69" i="20"/>
  <c r="W61" i="13"/>
  <c r="W62" i="13" s="1"/>
  <c r="R30" i="25"/>
  <c r="S30" i="25"/>
  <c r="T30" i="25"/>
  <c r="U30" i="25"/>
  <c r="V30" i="25"/>
  <c r="W30" i="25"/>
  <c r="X30" i="25"/>
  <c r="Y30" i="25"/>
  <c r="Z30" i="25"/>
  <c r="AA30" i="25"/>
  <c r="AB30" i="25"/>
  <c r="AC30" i="25"/>
  <c r="AD30" i="25"/>
  <c r="AE30" i="25"/>
  <c r="Y41" i="13"/>
  <c r="V19" i="45"/>
  <c r="E47" i="36"/>
  <c r="E46" i="36"/>
  <c r="E45" i="36"/>
  <c r="E44" i="36"/>
  <c r="E43" i="36"/>
  <c r="E42" i="36"/>
  <c r="E41" i="36"/>
  <c r="E40" i="36"/>
  <c r="E39" i="36"/>
  <c r="H39" i="36" s="1"/>
  <c r="E38" i="36"/>
  <c r="E37" i="36"/>
  <c r="E36" i="36"/>
  <c r="E35" i="36"/>
  <c r="E34" i="36"/>
  <c r="E33" i="36"/>
  <c r="E32" i="36"/>
  <c r="E28" i="36"/>
  <c r="E27" i="36"/>
  <c r="E26" i="36"/>
  <c r="E25" i="36"/>
  <c r="E24" i="36"/>
  <c r="E22" i="36"/>
  <c r="E18" i="36"/>
  <c r="E17" i="36"/>
  <c r="E16" i="36"/>
  <c r="E12" i="36"/>
  <c r="I70" i="29"/>
  <c r="I73" i="21"/>
  <c r="J73" i="21" s="1"/>
  <c r="I76" i="21"/>
  <c r="J76" i="21" s="1"/>
  <c r="I65" i="21"/>
  <c r="I57" i="21"/>
  <c r="I32" i="21"/>
  <c r="E19" i="45"/>
  <c r="E25" i="45"/>
  <c r="E22" i="45"/>
  <c r="E21" i="45"/>
  <c r="E20" i="45"/>
  <c r="E13" i="45"/>
  <c r="E15" i="45" s="1"/>
  <c r="E27" i="45"/>
  <c r="L44" i="36"/>
  <c r="N40" i="26"/>
  <c r="N141" i="26"/>
  <c r="AD78" i="20" l="1"/>
  <c r="J78" i="21"/>
  <c r="J30" i="29"/>
  <c r="E19" i="36"/>
  <c r="E29" i="36"/>
  <c r="E23" i="45"/>
  <c r="F19" i="45"/>
  <c r="X19" i="45" s="1"/>
  <c r="I78" i="21"/>
  <c r="I79" i="21" s="1"/>
  <c r="I80" i="21" s="1"/>
  <c r="J47" i="29"/>
  <c r="I123" i="29"/>
  <c r="I124" i="29" s="1"/>
  <c r="E49" i="36"/>
  <c r="U49" i="36"/>
  <c r="L49" i="36"/>
  <c r="J32" i="21"/>
  <c r="W19" i="45"/>
  <c r="E28" i="45"/>
  <c r="Q32" i="39"/>
  <c r="R51" i="2"/>
  <c r="Q33" i="39"/>
  <c r="K47" i="29" l="1"/>
  <c r="R91" i="2"/>
  <c r="AB19" i="30"/>
  <c r="AC19" i="30" s="1"/>
  <c r="AB20" i="30"/>
  <c r="AC20" i="30" s="1"/>
  <c r="AB21" i="30"/>
  <c r="P94" i="25" l="1"/>
  <c r="Q94" i="25"/>
  <c r="P95" i="25"/>
  <c r="Q95" i="25"/>
  <c r="P8" i="25"/>
  <c r="AE103" i="25"/>
  <c r="M104" i="25"/>
  <c r="R103" i="25"/>
  <c r="S103" i="25"/>
  <c r="T103" i="25"/>
  <c r="U103" i="25"/>
  <c r="V103" i="25"/>
  <c r="W103" i="25"/>
  <c r="X103" i="25"/>
  <c r="Y103" i="25"/>
  <c r="Z103" i="25"/>
  <c r="AA103" i="25"/>
  <c r="AB103" i="25"/>
  <c r="AC103" i="25"/>
  <c r="M83" i="25"/>
  <c r="M30" i="25"/>
  <c r="C89" i="24"/>
  <c r="N97" i="22"/>
  <c r="O97" i="22"/>
  <c r="AB76" i="29"/>
  <c r="AD76" i="29" s="1"/>
  <c r="AB77" i="29"/>
  <c r="AD77" i="29" s="1"/>
  <c r="AB78" i="29"/>
  <c r="AD78" i="29" s="1"/>
  <c r="AB79" i="29"/>
  <c r="AD79" i="29" s="1"/>
  <c r="AB80" i="29"/>
  <c r="AD80" i="29" s="1"/>
  <c r="AB81" i="29"/>
  <c r="AD81" i="29" s="1"/>
  <c r="AB82" i="29"/>
  <c r="AD82" i="29" s="1"/>
  <c r="AB83" i="29"/>
  <c r="AD83" i="29" s="1"/>
  <c r="AB84" i="29"/>
  <c r="AD84" i="29" s="1"/>
  <c r="AB85" i="29"/>
  <c r="AD85" i="29" s="1"/>
  <c r="AB86" i="29"/>
  <c r="AD86" i="29" s="1"/>
  <c r="AB87" i="29"/>
  <c r="AD87" i="29" s="1"/>
  <c r="AB88" i="29"/>
  <c r="AD88" i="29" s="1"/>
  <c r="AB90" i="29"/>
  <c r="AD90" i="29" s="1"/>
  <c r="AB91" i="29"/>
  <c r="AD91" i="29" s="1"/>
  <c r="AB92" i="29"/>
  <c r="AD92" i="29" s="1"/>
  <c r="AB93" i="29"/>
  <c r="AD93" i="29" s="1"/>
  <c r="AB94" i="29"/>
  <c r="AD94" i="29" s="1"/>
  <c r="AB95" i="29"/>
  <c r="AD95" i="29" s="1"/>
  <c r="AB96" i="29"/>
  <c r="AD96" i="29" s="1"/>
  <c r="AB97" i="29"/>
  <c r="AD97" i="29" s="1"/>
  <c r="AB98" i="29"/>
  <c r="AD98" i="29" s="1"/>
  <c r="AB99" i="29"/>
  <c r="AD99" i="29" s="1"/>
  <c r="AB100" i="29"/>
  <c r="AD100" i="29" s="1"/>
  <c r="AB101" i="29"/>
  <c r="AD101" i="29" s="1"/>
  <c r="AB102" i="29"/>
  <c r="AD102" i="29" s="1"/>
  <c r="AB103" i="29"/>
  <c r="AD103" i="29" s="1"/>
  <c r="AB104" i="29"/>
  <c r="AD104" i="29" s="1"/>
  <c r="AB105" i="29"/>
  <c r="AD105" i="29" s="1"/>
  <c r="AB106" i="29"/>
  <c r="AD106" i="29" s="1"/>
  <c r="AB107" i="29"/>
  <c r="AD107" i="29" s="1"/>
  <c r="AB108" i="29"/>
  <c r="AD108" i="29" s="1"/>
  <c r="AB109" i="29"/>
  <c r="AD109" i="29" s="1"/>
  <c r="AB110" i="29"/>
  <c r="AD110" i="29" s="1"/>
  <c r="AB111" i="29"/>
  <c r="AD111" i="29" s="1"/>
  <c r="AB112" i="29"/>
  <c r="AD112" i="29" s="1"/>
  <c r="AB113" i="29"/>
  <c r="AD113" i="29" s="1"/>
  <c r="AB114" i="29"/>
  <c r="AD114" i="29" s="1"/>
  <c r="AB115" i="29"/>
  <c r="AD115" i="29" s="1"/>
  <c r="AB116" i="29"/>
  <c r="AD116" i="29" s="1"/>
  <c r="AB117" i="29"/>
  <c r="AD117" i="29" s="1"/>
  <c r="AB118" i="29"/>
  <c r="AD118" i="29" s="1"/>
  <c r="AB119" i="29"/>
  <c r="AB120" i="29"/>
  <c r="AB121" i="29"/>
  <c r="L90" i="29"/>
  <c r="M90" i="29"/>
  <c r="L95" i="29"/>
  <c r="M95" i="29"/>
  <c r="M121" i="29"/>
  <c r="L104" i="29"/>
  <c r="L112" i="29"/>
  <c r="L120" i="29"/>
  <c r="G122" i="29"/>
  <c r="L80" i="29"/>
  <c r="G70" i="29"/>
  <c r="AB71" i="21"/>
  <c r="AD71" i="21" s="1"/>
  <c r="L71" i="21"/>
  <c r="M71" i="21"/>
  <c r="H78" i="21"/>
  <c r="H79" i="21" s="1"/>
  <c r="H80" i="21" s="1"/>
  <c r="H32" i="21"/>
  <c r="J46" i="16"/>
  <c r="AF76" i="20"/>
  <c r="AF75" i="20"/>
  <c r="AF74" i="20"/>
  <c r="AF73" i="20"/>
  <c r="AF67" i="20"/>
  <c r="AF64" i="20"/>
  <c r="AF62" i="20"/>
  <c r="AF14" i="20"/>
  <c r="S84" i="8"/>
  <c r="AI84" i="8" s="1"/>
  <c r="S83" i="8"/>
  <c r="AI83" i="8" s="1"/>
  <c r="AJ82" i="8"/>
  <c r="AJ81" i="8"/>
  <c r="AJ80" i="8"/>
  <c r="AJ79" i="8"/>
  <c r="AJ78" i="8"/>
  <c r="AJ76" i="8"/>
  <c r="AJ75" i="8"/>
  <c r="AJ74" i="8"/>
  <c r="AJ83" i="8"/>
  <c r="AE85" i="8"/>
  <c r="AD85" i="8"/>
  <c r="AC85" i="8"/>
  <c r="AB85" i="8"/>
  <c r="AA85" i="8"/>
  <c r="Z85" i="8"/>
  <c r="Y85" i="8"/>
  <c r="X85" i="8"/>
  <c r="W85" i="8"/>
  <c r="V85" i="8"/>
  <c r="U85" i="8"/>
  <c r="T85" i="8"/>
  <c r="R85" i="8"/>
  <c r="Q85" i="8"/>
  <c r="M85" i="8"/>
  <c r="C85" i="8"/>
  <c r="M86" i="8"/>
  <c r="M87" i="8" s="1"/>
  <c r="AC121" i="29" l="1"/>
  <c r="AB12" i="16"/>
  <c r="H75" i="16"/>
  <c r="K46" i="16"/>
  <c r="AA46" i="16" s="1"/>
  <c r="AB46" i="16"/>
  <c r="AC95" i="29"/>
  <c r="AC90" i="29"/>
  <c r="AE97" i="22"/>
  <c r="AF28" i="20"/>
  <c r="AF24" i="20"/>
  <c r="AF20" i="20"/>
  <c r="AF16" i="20"/>
  <c r="AF12" i="20"/>
  <c r="AF38" i="20"/>
  <c r="AF42" i="20"/>
  <c r="AF46" i="20"/>
  <c r="AF50" i="20"/>
  <c r="AF54" i="20"/>
  <c r="AF61" i="20"/>
  <c r="K71" i="16"/>
  <c r="I71" i="16"/>
  <c r="AC71" i="21"/>
  <c r="L78" i="29"/>
  <c r="K78" i="29"/>
  <c r="L82" i="29"/>
  <c r="K82" i="29"/>
  <c r="L86" i="29"/>
  <c r="K86" i="29"/>
  <c r="L92" i="29"/>
  <c r="K92" i="29"/>
  <c r="L118" i="29"/>
  <c r="K118" i="29"/>
  <c r="L114" i="29"/>
  <c r="K114" i="29"/>
  <c r="L110" i="29"/>
  <c r="K110" i="29"/>
  <c r="L106" i="29"/>
  <c r="K106" i="29"/>
  <c r="M102" i="29"/>
  <c r="AC102" i="29" s="1"/>
  <c r="K102" i="29"/>
  <c r="M98" i="29"/>
  <c r="AC98" i="29" s="1"/>
  <c r="K98" i="29"/>
  <c r="M120" i="29"/>
  <c r="AC120" i="29" s="1"/>
  <c r="M112" i="29"/>
  <c r="AC112" i="29" s="1"/>
  <c r="M104" i="29"/>
  <c r="AC104" i="29" s="1"/>
  <c r="N82" i="24"/>
  <c r="AD82" i="24" s="1"/>
  <c r="L82" i="24"/>
  <c r="N87" i="24"/>
  <c r="AD87" i="24" s="1"/>
  <c r="L87" i="24"/>
  <c r="P52" i="25"/>
  <c r="P56" i="25"/>
  <c r="P60" i="25"/>
  <c r="P64" i="25"/>
  <c r="P70" i="25"/>
  <c r="O98" i="25"/>
  <c r="P102" i="25"/>
  <c r="L31" i="20"/>
  <c r="AF27" i="20"/>
  <c r="AF23" i="20"/>
  <c r="AF19" i="20"/>
  <c r="AF15" i="20"/>
  <c r="AF11" i="20"/>
  <c r="AF35" i="20"/>
  <c r="AF39" i="20"/>
  <c r="AF43" i="20"/>
  <c r="AF51" i="20"/>
  <c r="AF55" i="20"/>
  <c r="M79" i="29"/>
  <c r="AC79" i="29" s="1"/>
  <c r="K79" i="29"/>
  <c r="M83" i="29"/>
  <c r="AC83" i="29" s="1"/>
  <c r="K83" i="29"/>
  <c r="L87" i="29"/>
  <c r="K87" i="29"/>
  <c r="L93" i="29"/>
  <c r="K93" i="29"/>
  <c r="L117" i="29"/>
  <c r="K117" i="29"/>
  <c r="L113" i="29"/>
  <c r="K113" i="29"/>
  <c r="L109" i="29"/>
  <c r="K109" i="29"/>
  <c r="L105" i="29"/>
  <c r="K105" i="29"/>
  <c r="L101" i="29"/>
  <c r="K101" i="29"/>
  <c r="L97" i="29"/>
  <c r="K97" i="29"/>
  <c r="K29" i="24"/>
  <c r="L79" i="24"/>
  <c r="M84" i="24"/>
  <c r="L84" i="24"/>
  <c r="L88" i="24"/>
  <c r="P28" i="25"/>
  <c r="P24" i="25"/>
  <c r="P20" i="25"/>
  <c r="P16" i="25"/>
  <c r="P12" i="25"/>
  <c r="P32" i="25"/>
  <c r="P36" i="25"/>
  <c r="P40" i="25"/>
  <c r="P44" i="25"/>
  <c r="P48" i="25"/>
  <c r="P79" i="25"/>
  <c r="P91" i="25"/>
  <c r="O99" i="25"/>
  <c r="AF26" i="20"/>
  <c r="AF22" i="20"/>
  <c r="AF18" i="20"/>
  <c r="AF10" i="20"/>
  <c r="AF40" i="20"/>
  <c r="AF44" i="20"/>
  <c r="AF52" i="20"/>
  <c r="AF56" i="20"/>
  <c r="M80" i="29"/>
  <c r="AC80" i="29" s="1"/>
  <c r="K80" i="29"/>
  <c r="M84" i="29"/>
  <c r="AC84" i="29" s="1"/>
  <c r="K84" i="29"/>
  <c r="M88" i="29"/>
  <c r="AC88" i="29" s="1"/>
  <c r="K88" i="29"/>
  <c r="K94" i="29"/>
  <c r="K120" i="29"/>
  <c r="K116" i="29"/>
  <c r="K112" i="29"/>
  <c r="K108" i="29"/>
  <c r="K104" i="29"/>
  <c r="K100" i="29"/>
  <c r="M116" i="29"/>
  <c r="AC116" i="29" s="1"/>
  <c r="M108" i="29"/>
  <c r="AC108" i="29" s="1"/>
  <c r="M100" i="29"/>
  <c r="AC100" i="29" s="1"/>
  <c r="M94" i="29"/>
  <c r="AC94" i="29" s="1"/>
  <c r="L88" i="29"/>
  <c r="L98" i="22"/>
  <c r="N96" i="22"/>
  <c r="AE76" i="24"/>
  <c r="K76" i="24"/>
  <c r="K90" i="24" s="1"/>
  <c r="N80" i="24"/>
  <c r="AD80" i="24" s="1"/>
  <c r="L80" i="24"/>
  <c r="N85" i="24"/>
  <c r="AD85" i="24" s="1"/>
  <c r="L85" i="24"/>
  <c r="P54" i="25"/>
  <c r="P58" i="25"/>
  <c r="P62" i="25"/>
  <c r="P66" i="25"/>
  <c r="P75" i="25"/>
  <c r="O96" i="25"/>
  <c r="O100" i="25"/>
  <c r="P84" i="8"/>
  <c r="AF29" i="20"/>
  <c r="AF25" i="20"/>
  <c r="AF21" i="20"/>
  <c r="AF17" i="20"/>
  <c r="AF13" i="20"/>
  <c r="AF9" i="20"/>
  <c r="AF41" i="20"/>
  <c r="AF49" i="20"/>
  <c r="AF53" i="20"/>
  <c r="AF57" i="20"/>
  <c r="L76" i="29"/>
  <c r="L81" i="29"/>
  <c r="K81" i="29"/>
  <c r="M85" i="29"/>
  <c r="AC85" i="29" s="1"/>
  <c r="K85" i="29"/>
  <c r="L91" i="29"/>
  <c r="K91" i="29"/>
  <c r="L96" i="29"/>
  <c r="K96" i="29"/>
  <c r="L119" i="29"/>
  <c r="K119" i="29"/>
  <c r="L115" i="29"/>
  <c r="K115" i="29"/>
  <c r="L111" i="29"/>
  <c r="K111" i="29"/>
  <c r="L107" i="29"/>
  <c r="K107" i="29"/>
  <c r="L103" i="29"/>
  <c r="K103" i="29"/>
  <c r="L99" i="29"/>
  <c r="K99" i="29"/>
  <c r="L121" i="29"/>
  <c r="L116" i="29"/>
  <c r="L108" i="29"/>
  <c r="L100" i="29"/>
  <c r="L94" i="29"/>
  <c r="L84" i="29"/>
  <c r="L33" i="22"/>
  <c r="M81" i="24"/>
  <c r="L81" i="24"/>
  <c r="M86" i="24"/>
  <c r="L86" i="24"/>
  <c r="P34" i="25"/>
  <c r="P38" i="25"/>
  <c r="P42" i="25"/>
  <c r="P46" i="25"/>
  <c r="P50" i="25"/>
  <c r="Q97" i="25"/>
  <c r="AG97" i="25" s="1"/>
  <c r="O97" i="25"/>
  <c r="O101" i="25"/>
  <c r="Z31" i="40"/>
  <c r="P96" i="25"/>
  <c r="Q100" i="25"/>
  <c r="AG100" i="25" s="1"/>
  <c r="Q102" i="25"/>
  <c r="AG102" i="25" s="1"/>
  <c r="P89" i="25"/>
  <c r="P97" i="25"/>
  <c r="P101" i="25"/>
  <c r="P27" i="25"/>
  <c r="P23" i="25"/>
  <c r="P19" i="25"/>
  <c r="P15" i="25"/>
  <c r="P11" i="25"/>
  <c r="P82" i="25"/>
  <c r="P78" i="25"/>
  <c r="P74" i="25"/>
  <c r="P69" i="25"/>
  <c r="P65" i="25"/>
  <c r="P61" i="25"/>
  <c r="P57" i="25"/>
  <c r="P53" i="25"/>
  <c r="P49" i="25"/>
  <c r="P45" i="25"/>
  <c r="P41" i="25"/>
  <c r="P37" i="25"/>
  <c r="P33" i="25"/>
  <c r="N30" i="25"/>
  <c r="P98" i="25"/>
  <c r="P26" i="25"/>
  <c r="P22" i="25"/>
  <c r="P18" i="25"/>
  <c r="P14" i="25"/>
  <c r="P10" i="25"/>
  <c r="P86" i="25"/>
  <c r="Q101" i="25"/>
  <c r="AG101" i="25" s="1"/>
  <c r="Q99" i="25"/>
  <c r="AG99" i="25" s="1"/>
  <c r="O14" i="25"/>
  <c r="P25" i="25"/>
  <c r="P21" i="25"/>
  <c r="P17" i="25"/>
  <c r="P13" i="25"/>
  <c r="P9" i="25"/>
  <c r="P76" i="25"/>
  <c r="P63" i="25"/>
  <c r="P59" i="25"/>
  <c r="P55" i="25"/>
  <c r="P47" i="25"/>
  <c r="P43" i="25"/>
  <c r="P39" i="25"/>
  <c r="P35" i="25"/>
  <c r="Q86" i="25"/>
  <c r="P100" i="25"/>
  <c r="Q91" i="25"/>
  <c r="Q89" i="25"/>
  <c r="Q8" i="25"/>
  <c r="N86" i="24"/>
  <c r="AD86" i="24" s="1"/>
  <c r="N81" i="24"/>
  <c r="AD81" i="24" s="1"/>
  <c r="L102" i="29"/>
  <c r="L98" i="29"/>
  <c r="L85" i="29"/>
  <c r="L83" i="29"/>
  <c r="L79" i="29"/>
  <c r="M119" i="29"/>
  <c r="AC119" i="29" s="1"/>
  <c r="M117" i="29"/>
  <c r="AC117" i="29" s="1"/>
  <c r="M115" i="29"/>
  <c r="AC115" i="29" s="1"/>
  <c r="M113" i="29"/>
  <c r="AC113" i="29" s="1"/>
  <c r="M111" i="29"/>
  <c r="AC111" i="29" s="1"/>
  <c r="M109" i="29"/>
  <c r="AC109" i="29" s="1"/>
  <c r="M107" i="29"/>
  <c r="AC107" i="29" s="1"/>
  <c r="M105" i="29"/>
  <c r="AC105" i="29" s="1"/>
  <c r="M103" i="29"/>
  <c r="AC103" i="29" s="1"/>
  <c r="M101" i="29"/>
  <c r="AC101" i="29" s="1"/>
  <c r="M99" i="29"/>
  <c r="AC99" i="29" s="1"/>
  <c r="M97" i="29"/>
  <c r="AC97" i="29" s="1"/>
  <c r="M93" i="29"/>
  <c r="AC93" i="29" s="1"/>
  <c r="M91" i="29"/>
  <c r="AC91" i="29" s="1"/>
  <c r="M86" i="29"/>
  <c r="AC86" i="29" s="1"/>
  <c r="M82" i="29"/>
  <c r="AC82" i="29" s="1"/>
  <c r="M78" i="29"/>
  <c r="AC78" i="29" s="1"/>
  <c r="M118" i="29"/>
  <c r="AC118" i="29" s="1"/>
  <c r="M114" i="29"/>
  <c r="AC114" i="29" s="1"/>
  <c r="M110" i="29"/>
  <c r="AC110" i="29" s="1"/>
  <c r="M106" i="29"/>
  <c r="AC106" i="29" s="1"/>
  <c r="M96" i="29"/>
  <c r="AC96" i="29" s="1"/>
  <c r="M92" i="29"/>
  <c r="AC92" i="29" s="1"/>
  <c r="M87" i="29"/>
  <c r="AC87" i="29" s="1"/>
  <c r="M81" i="29"/>
  <c r="AC81" i="29" s="1"/>
  <c r="P99" i="25"/>
  <c r="Q98" i="25"/>
  <c r="AG98" i="25" s="1"/>
  <c r="Q96" i="25"/>
  <c r="AG96" i="25" s="1"/>
  <c r="N103" i="25"/>
  <c r="O96" i="22"/>
  <c r="AE96" i="22" s="1"/>
  <c r="J71" i="16"/>
  <c r="N85" i="8"/>
  <c r="P83" i="8"/>
  <c r="AJ84" i="8"/>
  <c r="M76" i="29"/>
  <c r="AC76" i="29" s="1"/>
  <c r="M77" i="29"/>
  <c r="AC77" i="29" s="1"/>
  <c r="M87" i="24"/>
  <c r="M85" i="24"/>
  <c r="M82" i="24"/>
  <c r="M80" i="24"/>
  <c r="N84" i="24"/>
  <c r="AD84" i="24" s="1"/>
  <c r="AD103" i="25"/>
  <c r="M105" i="25"/>
  <c r="G123" i="29"/>
  <c r="G124" i="29" s="1"/>
  <c r="F145" i="26"/>
  <c r="F146" i="26" s="1"/>
  <c r="F144" i="26"/>
  <c r="F23" i="12"/>
  <c r="F22" i="12"/>
  <c r="E24" i="12"/>
  <c r="E18" i="12"/>
  <c r="E25" i="12" s="1"/>
  <c r="C35" i="30"/>
  <c r="H34" i="30"/>
  <c r="H30" i="30"/>
  <c r="H29" i="30"/>
  <c r="J34" i="30"/>
  <c r="J35" i="30" s="1"/>
  <c r="AB35" i="30"/>
  <c r="Y35" i="30"/>
  <c r="X35" i="30"/>
  <c r="W35" i="30"/>
  <c r="V35" i="30"/>
  <c r="U35" i="30"/>
  <c r="T35" i="30"/>
  <c r="S35" i="30"/>
  <c r="R35" i="30"/>
  <c r="Q35" i="30"/>
  <c r="P35" i="30"/>
  <c r="O35" i="30"/>
  <c r="N35" i="30"/>
  <c r="L35" i="30"/>
  <c r="K35" i="30"/>
  <c r="I35" i="30"/>
  <c r="H35" i="30"/>
  <c r="E35" i="30"/>
  <c r="C32" i="30"/>
  <c r="C36" i="30" s="1"/>
  <c r="G27" i="30"/>
  <c r="G58" i="13"/>
  <c r="G56" i="13"/>
  <c r="G51" i="13"/>
  <c r="G50" i="13"/>
  <c r="G49" i="13"/>
  <c r="G48" i="13"/>
  <c r="G47" i="13"/>
  <c r="G46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8" i="13"/>
  <c r="C46" i="10"/>
  <c r="G46" i="10"/>
  <c r="L46" i="10"/>
  <c r="M46" i="10"/>
  <c r="N46" i="10"/>
  <c r="O46" i="10"/>
  <c r="P46" i="10"/>
  <c r="Q46" i="10"/>
  <c r="R46" i="10"/>
  <c r="S46" i="10"/>
  <c r="T46" i="10"/>
  <c r="U46" i="10"/>
  <c r="V46" i="10"/>
  <c r="W46" i="10"/>
  <c r="X46" i="10"/>
  <c r="Y46" i="10"/>
  <c r="Z44" i="10"/>
  <c r="Z45" i="10"/>
  <c r="J45" i="10"/>
  <c r="G35" i="10"/>
  <c r="AC134" i="2"/>
  <c r="AC135" i="2"/>
  <c r="AC136" i="2"/>
  <c r="AA139" i="2"/>
  <c r="AB139" i="2"/>
  <c r="AC137" i="2"/>
  <c r="L137" i="2"/>
  <c r="N135" i="2"/>
  <c r="AE93" i="2"/>
  <c r="N136" i="2"/>
  <c r="N137" i="2"/>
  <c r="M134" i="2"/>
  <c r="M136" i="2"/>
  <c r="J70" i="2"/>
  <c r="J91" i="2" s="1"/>
  <c r="J140" i="2" s="1"/>
  <c r="J96" i="2"/>
  <c r="AD136" i="2" l="1"/>
  <c r="AD135" i="2"/>
  <c r="AD137" i="2"/>
  <c r="L89" i="24"/>
  <c r="L128" i="2"/>
  <c r="M135" i="2"/>
  <c r="L106" i="2"/>
  <c r="L111" i="2"/>
  <c r="L118" i="2"/>
  <c r="L130" i="2"/>
  <c r="AE136" i="2"/>
  <c r="L136" i="2"/>
  <c r="L105" i="2"/>
  <c r="L115" i="2"/>
  <c r="L135" i="2"/>
  <c r="AE135" i="2"/>
  <c r="L107" i="2"/>
  <c r="L112" i="2"/>
  <c r="L121" i="2"/>
  <c r="L132" i="2"/>
  <c r="L110" i="2"/>
  <c r="L102" i="2"/>
  <c r="L109" i="2"/>
  <c r="L114" i="2"/>
  <c r="L123" i="2"/>
  <c r="L134" i="2"/>
  <c r="AE134" i="2"/>
  <c r="M43" i="2"/>
  <c r="M47" i="2"/>
  <c r="M55" i="2"/>
  <c r="M63" i="2"/>
  <c r="M67" i="2"/>
  <c r="M71" i="2"/>
  <c r="M75" i="2"/>
  <c r="M79" i="2"/>
  <c r="G47" i="10"/>
  <c r="G42" i="13"/>
  <c r="AD20" i="30"/>
  <c r="O103" i="25"/>
  <c r="O104" i="25" s="1"/>
  <c r="M44" i="2"/>
  <c r="M137" i="2"/>
  <c r="AE137" i="2"/>
  <c r="AD19" i="30"/>
  <c r="M37" i="2"/>
  <c r="M49" i="2"/>
  <c r="N134" i="2"/>
  <c r="AD134" i="2" s="1"/>
  <c r="M45" i="2"/>
  <c r="M53" i="2"/>
  <c r="M57" i="2"/>
  <c r="M65" i="2"/>
  <c r="M85" i="2"/>
  <c r="M46" i="2"/>
  <c r="M58" i="2"/>
  <c r="M66" i="2"/>
  <c r="M74" i="2"/>
  <c r="AD21" i="30"/>
  <c r="M34" i="30"/>
  <c r="AC34" i="30" s="1"/>
  <c r="AC35" i="30" s="1"/>
  <c r="AD34" i="30"/>
  <c r="AD35" i="30" s="1"/>
  <c r="F18" i="12"/>
  <c r="O30" i="25"/>
  <c r="I41" i="13"/>
  <c r="AA41" i="13"/>
  <c r="K45" i="10"/>
  <c r="M35" i="30"/>
  <c r="AA44" i="10"/>
  <c r="AB44" i="10"/>
  <c r="AB45" i="10"/>
  <c r="M70" i="2" l="1"/>
  <c r="H42" i="13"/>
  <c r="AA45" i="10"/>
  <c r="J41" i="13"/>
  <c r="Z41" i="13" s="1"/>
  <c r="K24" i="36"/>
  <c r="K29" i="36" l="1"/>
  <c r="M107" i="23"/>
  <c r="AC78" i="24"/>
  <c r="AE78" i="24" l="1"/>
  <c r="AE89" i="24" s="1"/>
  <c r="AE90" i="24" s="1"/>
  <c r="AD78" i="24"/>
  <c r="AC89" i="24"/>
  <c r="AC90" i="24" s="1"/>
  <c r="Q85" i="22"/>
  <c r="AB85" i="22" s="1"/>
  <c r="AD85" i="22" s="1"/>
  <c r="Q88" i="22" l="1"/>
  <c r="Q107" i="22" s="1"/>
  <c r="AB88" i="22"/>
  <c r="AB107" i="22" s="1"/>
  <c r="P33" i="2"/>
  <c r="P91" i="2" l="1"/>
  <c r="AA91" i="2"/>
  <c r="Q29" i="2"/>
  <c r="AA29" i="2"/>
  <c r="K53" i="9"/>
  <c r="U53" i="9" s="1"/>
  <c r="W53" i="9" s="1"/>
  <c r="K65" i="9" l="1"/>
  <c r="U65" i="9"/>
  <c r="F75" i="29"/>
  <c r="C29" i="24" l="1"/>
  <c r="H96" i="2" l="1"/>
  <c r="O96" i="2"/>
  <c r="O140" i="2" s="1"/>
  <c r="P96" i="2"/>
  <c r="P140" i="2" s="1"/>
  <c r="Q96" i="2"/>
  <c r="Q140" i="2" s="1"/>
  <c r="R96" i="2"/>
  <c r="R140" i="2" s="1"/>
  <c r="S96" i="2"/>
  <c r="S140" i="2" s="1"/>
  <c r="U96" i="2"/>
  <c r="U140" i="2" s="1"/>
  <c r="V96" i="2"/>
  <c r="V140" i="2" s="1"/>
  <c r="W96" i="2"/>
  <c r="W140" i="2" s="1"/>
  <c r="X96" i="2"/>
  <c r="X140" i="2" s="1"/>
  <c r="Y96" i="2"/>
  <c r="Y140" i="2" s="1"/>
  <c r="Z96" i="2"/>
  <c r="Z140" i="2" s="1"/>
  <c r="AA96" i="2"/>
  <c r="AA140" i="2" s="1"/>
  <c r="AB96" i="2"/>
  <c r="AB140" i="2" s="1"/>
  <c r="M31" i="20" l="1"/>
  <c r="Z26" i="39" l="1"/>
  <c r="AA26" i="39" l="1"/>
  <c r="F122" i="29" l="1"/>
  <c r="N122" i="29"/>
  <c r="O122" i="29"/>
  <c r="P122" i="29"/>
  <c r="Q122" i="29"/>
  <c r="R122" i="29"/>
  <c r="S122" i="29"/>
  <c r="T122" i="29"/>
  <c r="U122" i="29"/>
  <c r="V122" i="29"/>
  <c r="W122" i="29"/>
  <c r="X122" i="29"/>
  <c r="Y122" i="29"/>
  <c r="Z122" i="29"/>
  <c r="AA122" i="29"/>
  <c r="C122" i="29"/>
  <c r="AB74" i="29"/>
  <c r="AD74" i="29" s="1"/>
  <c r="AB75" i="29"/>
  <c r="AD75" i="29" s="1"/>
  <c r="K74" i="29"/>
  <c r="K75" i="29"/>
  <c r="K121" i="29"/>
  <c r="K73" i="29"/>
  <c r="M33" i="22"/>
  <c r="I101" i="22"/>
  <c r="L101" i="22" s="1"/>
  <c r="AF101" i="22" s="1"/>
  <c r="I100" i="22"/>
  <c r="I105" i="22" l="1"/>
  <c r="I106" i="22" s="1"/>
  <c r="I107" i="22" s="1"/>
  <c r="L100" i="22"/>
  <c r="K122" i="29"/>
  <c r="M74" i="29"/>
  <c r="AC74" i="29" s="1"/>
  <c r="L74" i="29"/>
  <c r="M75" i="29"/>
  <c r="AC75" i="29" s="1"/>
  <c r="J122" i="29"/>
  <c r="L75" i="29"/>
  <c r="M101" i="22"/>
  <c r="O101" i="22"/>
  <c r="AE101" i="22" s="1"/>
  <c r="N101" i="22"/>
  <c r="Y57" i="13"/>
  <c r="Y58" i="13"/>
  <c r="AA58" i="13" s="1"/>
  <c r="Y59" i="13"/>
  <c r="C60" i="13"/>
  <c r="H58" i="13"/>
  <c r="I58" i="13"/>
  <c r="J58" i="13"/>
  <c r="E59" i="13"/>
  <c r="G59" i="13" s="1"/>
  <c r="H59" i="13" s="1"/>
  <c r="E57" i="13"/>
  <c r="C25" i="31"/>
  <c r="I25" i="31"/>
  <c r="J25" i="31"/>
  <c r="L25" i="31"/>
  <c r="M25" i="31"/>
  <c r="N25" i="31"/>
  <c r="O25" i="31"/>
  <c r="P25" i="31"/>
  <c r="Q25" i="31"/>
  <c r="R25" i="31"/>
  <c r="S25" i="31"/>
  <c r="T25" i="31"/>
  <c r="U25" i="31"/>
  <c r="V25" i="31"/>
  <c r="W25" i="31"/>
  <c r="X25" i="31"/>
  <c r="Y25" i="31"/>
  <c r="E25" i="31"/>
  <c r="Z24" i="31"/>
  <c r="Z25" i="31" s="1"/>
  <c r="F24" i="31"/>
  <c r="K24" i="31" s="1"/>
  <c r="K25" i="31" s="1"/>
  <c r="L105" i="22" l="1"/>
  <c r="L106" i="22" s="1"/>
  <c r="AF100" i="22"/>
  <c r="AF105" i="22" s="1"/>
  <c r="AA24" i="31"/>
  <c r="AA25" i="31" s="1"/>
  <c r="AA59" i="13"/>
  <c r="J59" i="13"/>
  <c r="Z59" i="13" s="1"/>
  <c r="I59" i="13"/>
  <c r="G57" i="13"/>
  <c r="E60" i="13"/>
  <c r="Z58" i="13"/>
  <c r="J57" i="13"/>
  <c r="Z57" i="13" s="1"/>
  <c r="I57" i="13"/>
  <c r="AA57" i="13"/>
  <c r="F25" i="31"/>
  <c r="H24" i="31"/>
  <c r="H25" i="31" s="1"/>
  <c r="G24" i="31"/>
  <c r="G25" i="31" s="1"/>
  <c r="AB24" i="31"/>
  <c r="AB25" i="31" s="1"/>
  <c r="M114" i="23"/>
  <c r="O33" i="39"/>
  <c r="K19" i="40"/>
  <c r="X134" i="23" l="1"/>
  <c r="M134" i="23"/>
  <c r="G60" i="13"/>
  <c r="H57" i="13"/>
  <c r="AC133" i="2"/>
  <c r="AC132" i="2"/>
  <c r="AE132" i="2" s="1"/>
  <c r="AC131" i="2"/>
  <c r="AC130" i="2"/>
  <c r="AE130" i="2" s="1"/>
  <c r="AC129" i="2"/>
  <c r="AC128" i="2"/>
  <c r="AE128" i="2" s="1"/>
  <c r="AC127" i="2"/>
  <c r="AC123" i="2"/>
  <c r="AE123" i="2" s="1"/>
  <c r="AC122" i="2"/>
  <c r="AC121" i="2"/>
  <c r="AE121" i="2" s="1"/>
  <c r="AC120" i="2"/>
  <c r="AC119" i="2"/>
  <c r="AC118" i="2"/>
  <c r="AE118" i="2" s="1"/>
  <c r="AC117" i="2"/>
  <c r="AC116" i="2"/>
  <c r="AC115" i="2"/>
  <c r="AE115" i="2" s="1"/>
  <c r="AC114" i="2"/>
  <c r="AE114" i="2" s="1"/>
  <c r="AC113" i="2"/>
  <c r="AC112" i="2"/>
  <c r="AE112" i="2" s="1"/>
  <c r="AC111" i="2"/>
  <c r="AE111" i="2" s="1"/>
  <c r="AC110" i="2"/>
  <c r="AE110" i="2" s="1"/>
  <c r="AC109" i="2"/>
  <c r="AE109" i="2" s="1"/>
  <c r="AC108" i="2"/>
  <c r="AC107" i="2"/>
  <c r="AE107" i="2" s="1"/>
  <c r="AC106" i="2"/>
  <c r="AE106" i="2" s="1"/>
  <c r="AC105" i="2"/>
  <c r="AE105" i="2" s="1"/>
  <c r="AC104" i="2"/>
  <c r="AC103" i="2"/>
  <c r="AC102" i="2"/>
  <c r="AE102" i="2" s="1"/>
  <c r="AC101" i="2"/>
  <c r="AC100" i="2"/>
  <c r="AE100" i="2" s="1"/>
  <c r="AC95" i="2"/>
  <c r="AC94" i="2"/>
  <c r="AC90" i="2"/>
  <c r="AC89" i="2"/>
  <c r="AC88" i="2"/>
  <c r="AC87" i="2"/>
  <c r="AC86" i="2"/>
  <c r="AC85" i="2"/>
  <c r="AE85" i="2" s="1"/>
  <c r="AC84" i="2"/>
  <c r="AC83" i="2"/>
  <c r="AC82" i="2"/>
  <c r="AC81" i="2"/>
  <c r="AC80" i="2"/>
  <c r="AC79" i="2"/>
  <c r="AE79" i="2" s="1"/>
  <c r="AC78" i="2"/>
  <c r="AC77" i="2"/>
  <c r="AC76" i="2"/>
  <c r="AC75" i="2"/>
  <c r="AE75" i="2" s="1"/>
  <c r="AC74" i="2"/>
  <c r="AE74" i="2" s="1"/>
  <c r="AC73" i="2"/>
  <c r="AC72" i="2"/>
  <c r="AC71" i="2"/>
  <c r="AE71" i="2" s="1"/>
  <c r="AC70" i="2"/>
  <c r="AE70" i="2" s="1"/>
  <c r="AC69" i="2"/>
  <c r="AC68" i="2"/>
  <c r="AC67" i="2"/>
  <c r="AE67" i="2" s="1"/>
  <c r="AC66" i="2"/>
  <c r="AE66" i="2" s="1"/>
  <c r="AC65" i="2"/>
  <c r="AE65" i="2" s="1"/>
  <c r="AC64" i="2"/>
  <c r="AC63" i="2"/>
  <c r="AE63" i="2" s="1"/>
  <c r="AC62" i="2"/>
  <c r="AC61" i="2"/>
  <c r="AC60" i="2"/>
  <c r="AC59" i="2"/>
  <c r="AC58" i="2"/>
  <c r="AE58" i="2" s="1"/>
  <c r="AC57" i="2"/>
  <c r="AE57" i="2" s="1"/>
  <c r="AC56" i="2"/>
  <c r="AC55" i="2"/>
  <c r="AE55" i="2" s="1"/>
  <c r="AC54" i="2"/>
  <c r="AC53" i="2"/>
  <c r="AE53" i="2" s="1"/>
  <c r="AC52" i="2"/>
  <c r="AC51" i="2"/>
  <c r="AC50" i="2"/>
  <c r="AC49" i="2"/>
  <c r="AE49" i="2" s="1"/>
  <c r="AC48" i="2"/>
  <c r="AC47" i="2"/>
  <c r="AE47" i="2" s="1"/>
  <c r="AC46" i="2"/>
  <c r="AE46" i="2" s="1"/>
  <c r="AC45" i="2"/>
  <c r="AE45" i="2" s="1"/>
  <c r="AC44" i="2"/>
  <c r="AE44" i="2" s="1"/>
  <c r="AC43" i="2"/>
  <c r="AE43" i="2" s="1"/>
  <c r="AC42" i="2"/>
  <c r="AC41" i="2"/>
  <c r="AC40" i="2"/>
  <c r="AC39" i="2"/>
  <c r="AC38" i="2"/>
  <c r="AC37" i="2"/>
  <c r="AE37" i="2" s="1"/>
  <c r="AC36" i="2"/>
  <c r="AC35" i="2"/>
  <c r="AC33" i="2"/>
  <c r="AC32" i="2"/>
  <c r="AC9" i="2"/>
  <c r="AE9" i="2" s="1"/>
  <c r="AC10" i="2"/>
  <c r="AE10" i="2" s="1"/>
  <c r="AC11" i="2"/>
  <c r="AC12" i="2"/>
  <c r="AC13" i="2"/>
  <c r="AE13" i="2" s="1"/>
  <c r="AC14" i="2"/>
  <c r="AC15" i="2"/>
  <c r="AC16" i="2"/>
  <c r="AC17" i="2"/>
  <c r="AC18" i="2"/>
  <c r="AE18" i="2" s="1"/>
  <c r="AC19" i="2"/>
  <c r="AC20" i="2"/>
  <c r="AC21" i="2"/>
  <c r="AE21" i="2" s="1"/>
  <c r="AC22" i="2"/>
  <c r="AC23" i="2"/>
  <c r="AC24" i="2"/>
  <c r="AC25" i="2"/>
  <c r="AC26" i="2"/>
  <c r="AC27" i="2"/>
  <c r="AC28" i="2"/>
  <c r="AD28" i="2" l="1"/>
  <c r="AE28" i="2"/>
  <c r="AD26" i="2"/>
  <c r="AE26" i="2"/>
  <c r="AC29" i="2"/>
  <c r="AC124" i="2"/>
  <c r="AC138" i="2"/>
  <c r="AC91" i="2"/>
  <c r="AC96" i="2"/>
  <c r="D25" i="45"/>
  <c r="F25" i="45" s="1"/>
  <c r="D22" i="45"/>
  <c r="F22" i="45" s="1"/>
  <c r="D21" i="45"/>
  <c r="F21" i="45" s="1"/>
  <c r="D20" i="45"/>
  <c r="F20" i="45" s="1"/>
  <c r="D18" i="45"/>
  <c r="F18" i="45" s="1"/>
  <c r="D13" i="45"/>
  <c r="F13" i="45" s="1"/>
  <c r="S27" i="45"/>
  <c r="P27" i="45"/>
  <c r="N27" i="45"/>
  <c r="J27" i="45"/>
  <c r="I27" i="45"/>
  <c r="H27" i="45"/>
  <c r="G27" i="45"/>
  <c r="X26" i="45"/>
  <c r="R27" i="45"/>
  <c r="Q27" i="45"/>
  <c r="M27" i="45"/>
  <c r="L27" i="45"/>
  <c r="K27" i="45"/>
  <c r="W24" i="45"/>
  <c r="S23" i="45"/>
  <c r="R23" i="45"/>
  <c r="Q23" i="45"/>
  <c r="P23" i="45"/>
  <c r="O23" i="45"/>
  <c r="N23" i="45"/>
  <c r="M23" i="45"/>
  <c r="K23" i="45"/>
  <c r="J23" i="45"/>
  <c r="I23" i="45"/>
  <c r="H23" i="45"/>
  <c r="G23" i="45"/>
  <c r="X17" i="45"/>
  <c r="S15" i="45"/>
  <c r="R15" i="45"/>
  <c r="Q15" i="45"/>
  <c r="N15" i="45"/>
  <c r="J15" i="45"/>
  <c r="J28" i="45" s="1"/>
  <c r="I15" i="45"/>
  <c r="H15" i="45"/>
  <c r="G15" i="45"/>
  <c r="G28" i="45" s="1"/>
  <c r="P15" i="45"/>
  <c r="O15" i="45"/>
  <c r="L15" i="45"/>
  <c r="K15" i="45"/>
  <c r="S28" i="45" l="1"/>
  <c r="AC139" i="2"/>
  <c r="R28" i="45"/>
  <c r="AC140" i="2"/>
  <c r="Q28" i="45"/>
  <c r="K28" i="45"/>
  <c r="I28" i="45"/>
  <c r="P28" i="45"/>
  <c r="N28" i="45"/>
  <c r="H28" i="45"/>
  <c r="V21" i="45"/>
  <c r="X21" i="45" s="1"/>
  <c r="D23" i="45"/>
  <c r="U27" i="45"/>
  <c r="V20" i="45"/>
  <c r="W20" i="45" s="1"/>
  <c r="U15" i="45"/>
  <c r="U23" i="45"/>
  <c r="T23" i="45"/>
  <c r="V14" i="45"/>
  <c r="V18" i="45"/>
  <c r="W18" i="45" s="1"/>
  <c r="V22" i="45"/>
  <c r="X22" i="45" s="1"/>
  <c r="T27" i="45"/>
  <c r="M15" i="45"/>
  <c r="M28" i="45" s="1"/>
  <c r="W21" i="45"/>
  <c r="F27" i="45"/>
  <c r="L23" i="45"/>
  <c r="L28" i="45" s="1"/>
  <c r="O27" i="45"/>
  <c r="O28" i="45" s="1"/>
  <c r="D27" i="45"/>
  <c r="U28" i="45" l="1"/>
  <c r="X20" i="45"/>
  <c r="X18" i="45"/>
  <c r="V25" i="45"/>
  <c r="X25" i="45" s="1"/>
  <c r="X27" i="45" s="1"/>
  <c r="W22" i="45"/>
  <c r="F15" i="45"/>
  <c r="T15" i="45"/>
  <c r="V13" i="45"/>
  <c r="V15" i="45" s="1"/>
  <c r="W14" i="45"/>
  <c r="X14" i="45"/>
  <c r="D15" i="45"/>
  <c r="D28" i="45" s="1"/>
  <c r="F23" i="45"/>
  <c r="V23" i="45"/>
  <c r="V27" i="45" l="1"/>
  <c r="V28" i="45" s="1"/>
  <c r="W25" i="45"/>
  <c r="W27" i="45" s="1"/>
  <c r="W13" i="45"/>
  <c r="W15" i="45" s="1"/>
  <c r="W23" i="45"/>
  <c r="X23" i="45"/>
  <c r="F28" i="45"/>
  <c r="X13" i="45"/>
  <c r="X15" i="45" s="1"/>
  <c r="X28" i="45" l="1"/>
  <c r="W28" i="45"/>
  <c r="F10" i="32" l="1"/>
  <c r="F9" i="32"/>
  <c r="F8" i="32"/>
  <c r="E29" i="32"/>
  <c r="F29" i="32" s="1"/>
  <c r="E28" i="32"/>
  <c r="F28" i="32" s="1"/>
  <c r="E27" i="32"/>
  <c r="F27" i="32" s="1"/>
  <c r="F24" i="32"/>
  <c r="F13" i="32"/>
  <c r="F15" i="32"/>
  <c r="F16" i="32"/>
  <c r="F17" i="32"/>
  <c r="F18" i="32"/>
  <c r="F19" i="32"/>
  <c r="E30" i="32"/>
  <c r="E21" i="31"/>
  <c r="F21" i="31" s="1"/>
  <c r="F20" i="31"/>
  <c r="F19" i="31"/>
  <c r="F10" i="31"/>
  <c r="F13" i="31"/>
  <c r="F15" i="31"/>
  <c r="F8" i="31"/>
  <c r="E22" i="31"/>
  <c r="E26" i="31" s="1"/>
  <c r="E17" i="31"/>
  <c r="E31" i="30"/>
  <c r="M30" i="30"/>
  <c r="F56" i="29"/>
  <c r="F62" i="29"/>
  <c r="F61" i="29"/>
  <c r="F60" i="29"/>
  <c r="F58" i="29"/>
  <c r="F57" i="29"/>
  <c r="F54" i="29"/>
  <c r="F52" i="29"/>
  <c r="F67" i="29"/>
  <c r="K69" i="29"/>
  <c r="K68" i="29"/>
  <c r="K66" i="29"/>
  <c r="K65" i="29"/>
  <c r="K64" i="29"/>
  <c r="K63" i="29"/>
  <c r="K59" i="29"/>
  <c r="K55" i="29"/>
  <c r="K53" i="29"/>
  <c r="K14" i="29"/>
  <c r="K30" i="29" s="1"/>
  <c r="E27" i="31" l="1"/>
  <c r="K58" i="29"/>
  <c r="K57" i="29"/>
  <c r="H31" i="30"/>
  <c r="E32" i="30"/>
  <c r="E36" i="30" s="1"/>
  <c r="E37" i="30" s="1"/>
  <c r="K67" i="29"/>
  <c r="K52" i="29"/>
  <c r="K60" i="29"/>
  <c r="K61" i="29"/>
  <c r="K62" i="29"/>
  <c r="K56" i="29"/>
  <c r="L9" i="29"/>
  <c r="E31" i="32"/>
  <c r="E32" i="32" s="1"/>
  <c r="F70" i="29"/>
  <c r="F123" i="29" s="1"/>
  <c r="F124" i="29" s="1"/>
  <c r="K54" i="29"/>
  <c r="P29" i="25"/>
  <c r="P30" i="25" s="1"/>
  <c r="J92" i="25"/>
  <c r="J90" i="25"/>
  <c r="J88" i="25"/>
  <c r="J87" i="25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56" i="23"/>
  <c r="H55" i="23"/>
  <c r="H53" i="23"/>
  <c r="H52" i="23"/>
  <c r="H51" i="23"/>
  <c r="H50" i="23"/>
  <c r="H49" i="23"/>
  <c r="H48" i="23"/>
  <c r="H47" i="23"/>
  <c r="H46" i="23"/>
  <c r="H45" i="23"/>
  <c r="H44" i="23"/>
  <c r="H43" i="23"/>
  <c r="H41" i="23"/>
  <c r="H40" i="23"/>
  <c r="H39" i="23"/>
  <c r="H38" i="23"/>
  <c r="I38" i="23" s="1"/>
  <c r="H37" i="23"/>
  <c r="I37" i="23" s="1"/>
  <c r="H36" i="23"/>
  <c r="H35" i="23"/>
  <c r="H34" i="23"/>
  <c r="H64" i="23"/>
  <c r="G60" i="23"/>
  <c r="G65" i="23"/>
  <c r="G68" i="20"/>
  <c r="AF68" i="20" s="1"/>
  <c r="G66" i="20"/>
  <c r="AF66" i="20" s="1"/>
  <c r="G65" i="20"/>
  <c r="AF65" i="20" s="1"/>
  <c r="G63" i="20"/>
  <c r="J53" i="19"/>
  <c r="J55" i="19" s="1"/>
  <c r="J62" i="19" s="1"/>
  <c r="J63" i="19" s="1"/>
  <c r="K59" i="19"/>
  <c r="K58" i="19"/>
  <c r="K57" i="19"/>
  <c r="K54" i="19"/>
  <c r="K53" i="19"/>
  <c r="K52" i="19"/>
  <c r="K48" i="19"/>
  <c r="K47" i="19"/>
  <c r="K46" i="19"/>
  <c r="K45" i="19"/>
  <c r="K44" i="19"/>
  <c r="K43" i="19"/>
  <c r="K42" i="19"/>
  <c r="K41" i="19"/>
  <c r="K40" i="19"/>
  <c r="K38" i="19"/>
  <c r="K36" i="19"/>
  <c r="K32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D63" i="16"/>
  <c r="D65" i="16"/>
  <c r="D30" i="16"/>
  <c r="I14" i="16"/>
  <c r="I50" i="17"/>
  <c r="I49" i="17"/>
  <c r="I48" i="17"/>
  <c r="I47" i="17"/>
  <c r="I46" i="17"/>
  <c r="I45" i="17"/>
  <c r="I44" i="17"/>
  <c r="I42" i="17"/>
  <c r="I39" i="17"/>
  <c r="I37" i="17"/>
  <c r="I36" i="17"/>
  <c r="I35" i="17"/>
  <c r="I33" i="17"/>
  <c r="I57" i="17"/>
  <c r="I56" i="17"/>
  <c r="I55" i="17"/>
  <c r="I54" i="17"/>
  <c r="I61" i="17"/>
  <c r="I62" i="17"/>
  <c r="I63" i="17"/>
  <c r="H60" i="17"/>
  <c r="H64" i="17" s="1"/>
  <c r="H65" i="17" s="1"/>
  <c r="H66" i="17" s="1"/>
  <c r="I66" i="8"/>
  <c r="N66" i="8" s="1"/>
  <c r="I59" i="8"/>
  <c r="G50" i="39"/>
  <c r="G48" i="39"/>
  <c r="E143" i="26"/>
  <c r="G28" i="15"/>
  <c r="G11" i="15"/>
  <c r="G12" i="15"/>
  <c r="G13" i="15"/>
  <c r="G14" i="15"/>
  <c r="G17" i="15"/>
  <c r="G18" i="15"/>
  <c r="G20" i="15"/>
  <c r="G21" i="15"/>
  <c r="G22" i="15"/>
  <c r="G23" i="15"/>
  <c r="G24" i="15"/>
  <c r="F45" i="14"/>
  <c r="G45" i="14" s="1"/>
  <c r="F43" i="14"/>
  <c r="G43" i="14" s="1"/>
  <c r="F39" i="14"/>
  <c r="G54" i="14"/>
  <c r="G53" i="14"/>
  <c r="G51" i="14"/>
  <c r="G50" i="14"/>
  <c r="G49" i="14"/>
  <c r="H49" i="14" s="1"/>
  <c r="G46" i="14"/>
  <c r="G44" i="14"/>
  <c r="G42" i="14"/>
  <c r="G41" i="14"/>
  <c r="G40" i="14"/>
  <c r="G39" i="14"/>
  <c r="G9" i="14"/>
  <c r="G12" i="14"/>
  <c r="G13" i="14"/>
  <c r="G16" i="14"/>
  <c r="G20" i="14"/>
  <c r="G21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8" i="14"/>
  <c r="F55" i="14"/>
  <c r="E52" i="13"/>
  <c r="E40" i="10"/>
  <c r="E35" i="10"/>
  <c r="H65" i="39"/>
  <c r="H64" i="39"/>
  <c r="H63" i="39"/>
  <c r="H62" i="39"/>
  <c r="H61" i="39"/>
  <c r="H60" i="39"/>
  <c r="H56" i="39"/>
  <c r="I56" i="39" s="1"/>
  <c r="H55" i="39"/>
  <c r="I55" i="39" s="1"/>
  <c r="H50" i="39"/>
  <c r="I50" i="39" s="1"/>
  <c r="H49" i="39"/>
  <c r="I49" i="39" s="1"/>
  <c r="H48" i="39"/>
  <c r="I48" i="39" s="1"/>
  <c r="H43" i="39"/>
  <c r="H42" i="39"/>
  <c r="H41" i="39"/>
  <c r="H40" i="39"/>
  <c r="H39" i="39"/>
  <c r="H38" i="39"/>
  <c r="H37" i="39"/>
  <c r="H36" i="39"/>
  <c r="H35" i="39"/>
  <c r="H34" i="39"/>
  <c r="H31" i="39"/>
  <c r="H9" i="39"/>
  <c r="H16" i="39"/>
  <c r="H19" i="39"/>
  <c r="H24" i="39"/>
  <c r="H25" i="39"/>
  <c r="G54" i="39"/>
  <c r="H54" i="39" s="1"/>
  <c r="I54" i="39" s="1"/>
  <c r="G53" i="39"/>
  <c r="H53" i="39" s="1"/>
  <c r="I53" i="39" s="1"/>
  <c r="G52" i="39"/>
  <c r="H52" i="39" s="1"/>
  <c r="I52" i="39" s="1"/>
  <c r="G51" i="39"/>
  <c r="H51" i="39" s="1"/>
  <c r="I51" i="39" s="1"/>
  <c r="G20" i="5"/>
  <c r="D25" i="5"/>
  <c r="D24" i="5"/>
  <c r="D31" i="5"/>
  <c r="H101" i="2"/>
  <c r="H122" i="2"/>
  <c r="H120" i="2"/>
  <c r="H119" i="2"/>
  <c r="H113" i="2"/>
  <c r="H104" i="2"/>
  <c r="H103" i="2"/>
  <c r="H116" i="2"/>
  <c r="H108" i="2"/>
  <c r="H117" i="2"/>
  <c r="W49" i="36"/>
  <c r="W8" i="36"/>
  <c r="X8" i="36" s="1"/>
  <c r="AA40" i="14" l="1"/>
  <c r="H40" i="14"/>
  <c r="AA53" i="14"/>
  <c r="H53" i="14"/>
  <c r="AA41" i="14"/>
  <c r="H41" i="14"/>
  <c r="AA46" i="14"/>
  <c r="H46" i="14"/>
  <c r="AA42" i="14"/>
  <c r="H42" i="14"/>
  <c r="F47" i="14"/>
  <c r="F56" i="14" s="1"/>
  <c r="F57" i="14" s="1"/>
  <c r="AA45" i="14"/>
  <c r="H45" i="14"/>
  <c r="AA39" i="14"/>
  <c r="H39" i="14"/>
  <c r="AA44" i="14"/>
  <c r="H44" i="14"/>
  <c r="AA51" i="14"/>
  <c r="H51" i="14"/>
  <c r="AA43" i="14"/>
  <c r="H43" i="14"/>
  <c r="G66" i="23"/>
  <c r="G67" i="23" s="1"/>
  <c r="AA54" i="14"/>
  <c r="H54" i="14"/>
  <c r="AA50" i="14"/>
  <c r="H50" i="14"/>
  <c r="I58" i="17"/>
  <c r="N59" i="8"/>
  <c r="I69" i="8"/>
  <c r="I86" i="8" s="1"/>
  <c r="I87" i="8" s="1"/>
  <c r="AD24" i="39"/>
  <c r="I31" i="15"/>
  <c r="J31" i="15"/>
  <c r="I32" i="15"/>
  <c r="J32" i="15"/>
  <c r="J28" i="15"/>
  <c r="I28" i="15"/>
  <c r="J30" i="15"/>
  <c r="I30" i="15"/>
  <c r="H60" i="23"/>
  <c r="AE119" i="2"/>
  <c r="L119" i="2"/>
  <c r="L108" i="2"/>
  <c r="AE108" i="2"/>
  <c r="L113" i="2"/>
  <c r="AE113" i="2"/>
  <c r="AE116" i="2"/>
  <c r="L116" i="2"/>
  <c r="AE103" i="2"/>
  <c r="L103" i="2"/>
  <c r="L120" i="2"/>
  <c r="AE120" i="2"/>
  <c r="L117" i="2"/>
  <c r="AE117" i="2"/>
  <c r="AE104" i="2"/>
  <c r="L104" i="2"/>
  <c r="L122" i="2"/>
  <c r="AE122" i="2"/>
  <c r="G24" i="5"/>
  <c r="D26" i="5"/>
  <c r="D32" i="5" s="1"/>
  <c r="D33" i="5" s="1"/>
  <c r="G52" i="13"/>
  <c r="G53" i="13" s="1"/>
  <c r="G61" i="13" s="1"/>
  <c r="G62" i="13" s="1"/>
  <c r="E53" i="13"/>
  <c r="E61" i="13" s="1"/>
  <c r="E62" i="13" s="1"/>
  <c r="AA31" i="14"/>
  <c r="AA27" i="14"/>
  <c r="AA23" i="14"/>
  <c r="I60" i="17"/>
  <c r="I64" i="17" s="1"/>
  <c r="K31" i="19"/>
  <c r="AE8" i="19"/>
  <c r="K55" i="19"/>
  <c r="K62" i="19" s="1"/>
  <c r="G69" i="20"/>
  <c r="G78" i="20" s="1"/>
  <c r="G79" i="20" s="1"/>
  <c r="W19" i="36"/>
  <c r="W29" i="36"/>
  <c r="H124" i="2"/>
  <c r="H139" i="2" s="1"/>
  <c r="H140" i="2" s="1"/>
  <c r="G25" i="5"/>
  <c r="AA34" i="14"/>
  <c r="AA30" i="14"/>
  <c r="AA26" i="14"/>
  <c r="AA14" i="14"/>
  <c r="L14" i="19"/>
  <c r="AB9" i="23"/>
  <c r="H30" i="23"/>
  <c r="H32" i="30"/>
  <c r="H36" i="30" s="1"/>
  <c r="AA33" i="14"/>
  <c r="AA29" i="14"/>
  <c r="AA25" i="14"/>
  <c r="AA21" i="14"/>
  <c r="AA13" i="14"/>
  <c r="AA9" i="14"/>
  <c r="E146" i="26"/>
  <c r="E46" i="10"/>
  <c r="E47" i="10" s="1"/>
  <c r="H46" i="10"/>
  <c r="AA32" i="14"/>
  <c r="AA28" i="14"/>
  <c r="AA24" i="14"/>
  <c r="AA20" i="14"/>
  <c r="AA16" i="14"/>
  <c r="AA12" i="14"/>
  <c r="D76" i="16"/>
  <c r="D77" i="16" s="1"/>
  <c r="H66" i="16"/>
  <c r="J14" i="17"/>
  <c r="AC50" i="17"/>
  <c r="P88" i="25"/>
  <c r="Q88" i="25"/>
  <c r="P90" i="25"/>
  <c r="Q90" i="25"/>
  <c r="P92" i="25"/>
  <c r="Q92" i="25"/>
  <c r="Q87" i="25"/>
  <c r="P87" i="25"/>
  <c r="H30" i="16"/>
  <c r="I17" i="13"/>
  <c r="I64" i="23"/>
  <c r="I60" i="23"/>
  <c r="K68" i="21"/>
  <c r="M76" i="20"/>
  <c r="M73" i="20"/>
  <c r="M68" i="20"/>
  <c r="M67" i="20"/>
  <c r="M66" i="20"/>
  <c r="M65" i="20"/>
  <c r="M64" i="20"/>
  <c r="M63" i="20"/>
  <c r="M62" i="20"/>
  <c r="M61" i="20"/>
  <c r="M60" i="20"/>
  <c r="M59" i="20"/>
  <c r="L55" i="19"/>
  <c r="J63" i="17"/>
  <c r="J62" i="17"/>
  <c r="J61" i="17"/>
  <c r="J60" i="17"/>
  <c r="J56" i="17"/>
  <c r="J57" i="17"/>
  <c r="J55" i="17"/>
  <c r="I74" i="16"/>
  <c r="I73" i="16"/>
  <c r="I72" i="16"/>
  <c r="I70" i="16"/>
  <c r="I69" i="16"/>
  <c r="G28" i="32"/>
  <c r="G29" i="32"/>
  <c r="G27" i="32"/>
  <c r="G20" i="31"/>
  <c r="G21" i="31"/>
  <c r="G19" i="31"/>
  <c r="I31" i="30"/>
  <c r="I30" i="30"/>
  <c r="J30" i="30" s="1"/>
  <c r="H30" i="15"/>
  <c r="H31" i="15"/>
  <c r="H32" i="15"/>
  <c r="H28" i="15"/>
  <c r="H47" i="13"/>
  <c r="H48" i="13"/>
  <c r="H49" i="13"/>
  <c r="H50" i="13"/>
  <c r="H51" i="13"/>
  <c r="H52" i="13"/>
  <c r="H46" i="13"/>
  <c r="G23" i="12"/>
  <c r="G22" i="12"/>
  <c r="AA73" i="41"/>
  <c r="AA76" i="41" s="1"/>
  <c r="AA72" i="41"/>
  <c r="AA71" i="41"/>
  <c r="AA70" i="41"/>
  <c r="AA12" i="41"/>
  <c r="AC12" i="41" s="1"/>
  <c r="AA13" i="41"/>
  <c r="AA14" i="41"/>
  <c r="AC14" i="41" s="1"/>
  <c r="AA15" i="41"/>
  <c r="AC15" i="41" s="1"/>
  <c r="AA16" i="41"/>
  <c r="AC16" i="41" s="1"/>
  <c r="AA17" i="41"/>
  <c r="AC17" i="41" s="1"/>
  <c r="AA18" i="41"/>
  <c r="AC18" i="41" s="1"/>
  <c r="AA19" i="41"/>
  <c r="AC19" i="41" s="1"/>
  <c r="AA20" i="41"/>
  <c r="AC20" i="41" s="1"/>
  <c r="AA21" i="41"/>
  <c r="AA22" i="41"/>
  <c r="AC22" i="41" s="1"/>
  <c r="AA23" i="41"/>
  <c r="AC23" i="41" s="1"/>
  <c r="AA24" i="41"/>
  <c r="AC24" i="41" s="1"/>
  <c r="AA25" i="41"/>
  <c r="AC25" i="41" s="1"/>
  <c r="AA26" i="41"/>
  <c r="AC26" i="41" s="1"/>
  <c r="AA27" i="41"/>
  <c r="AC27" i="41" s="1"/>
  <c r="AA28" i="41"/>
  <c r="AC28" i="41" s="1"/>
  <c r="AA29" i="41"/>
  <c r="AC29" i="41" s="1"/>
  <c r="AA30" i="41"/>
  <c r="AC30" i="41" s="1"/>
  <c r="AA31" i="41"/>
  <c r="AC31" i="41" s="1"/>
  <c r="AA32" i="41"/>
  <c r="AC32" i="41" s="1"/>
  <c r="AA33" i="41"/>
  <c r="AC33" i="41" s="1"/>
  <c r="AA34" i="41"/>
  <c r="AC34" i="41" s="1"/>
  <c r="AA35" i="41"/>
  <c r="AC35" i="41" s="1"/>
  <c r="AA36" i="41"/>
  <c r="AC36" i="41" s="1"/>
  <c r="AA37" i="41"/>
  <c r="AC37" i="41" s="1"/>
  <c r="AA38" i="41"/>
  <c r="AC38" i="41" s="1"/>
  <c r="AA39" i="41"/>
  <c r="AA40" i="41"/>
  <c r="AA41" i="41"/>
  <c r="AA42" i="41"/>
  <c r="AC42" i="41" s="1"/>
  <c r="AA43" i="41"/>
  <c r="AC43" i="41" s="1"/>
  <c r="AA44" i="41"/>
  <c r="AC44" i="41" s="1"/>
  <c r="AA45" i="41"/>
  <c r="AC45" i="41" s="1"/>
  <c r="AA46" i="41"/>
  <c r="AC46" i="41" s="1"/>
  <c r="AA47" i="41"/>
  <c r="AC47" i="41" s="1"/>
  <c r="AA48" i="41"/>
  <c r="AC48" i="41" s="1"/>
  <c r="AA50" i="41"/>
  <c r="AC50" i="41" s="1"/>
  <c r="AA51" i="41"/>
  <c r="AC51" i="41" s="1"/>
  <c r="AA52" i="41"/>
  <c r="AC52" i="41" s="1"/>
  <c r="AA53" i="41"/>
  <c r="AC53" i="41" s="1"/>
  <c r="AA54" i="41"/>
  <c r="AC54" i="41" s="1"/>
  <c r="AA55" i="41"/>
  <c r="AC55" i="41" s="1"/>
  <c r="AA56" i="41"/>
  <c r="AC56" i="41" s="1"/>
  <c r="AA57" i="41"/>
  <c r="AC57" i="41" s="1"/>
  <c r="AA58" i="41"/>
  <c r="AC58" i="41" s="1"/>
  <c r="AA59" i="41"/>
  <c r="AC59" i="41" s="1"/>
  <c r="AA60" i="41"/>
  <c r="AC60" i="41" s="1"/>
  <c r="AA61" i="41"/>
  <c r="AC61" i="41" s="1"/>
  <c r="AA62" i="41"/>
  <c r="AC62" i="41" s="1"/>
  <c r="AA63" i="41"/>
  <c r="AA64" i="41"/>
  <c r="AC64" i="41" s="1"/>
  <c r="AA65" i="41"/>
  <c r="AC65" i="41" s="1"/>
  <c r="AA66" i="41"/>
  <c r="AC66" i="41" s="1"/>
  <c r="AA49" i="41"/>
  <c r="I39" i="10"/>
  <c r="I40" i="10"/>
  <c r="I41" i="10"/>
  <c r="I42" i="10"/>
  <c r="I43" i="10"/>
  <c r="I38" i="10"/>
  <c r="F72" i="9"/>
  <c r="F76" i="9"/>
  <c r="F78" i="9"/>
  <c r="Q93" i="25" l="1"/>
  <c r="I66" i="16"/>
  <c r="J64" i="17"/>
  <c r="I65" i="17"/>
  <c r="J58" i="17"/>
  <c r="AC72" i="41"/>
  <c r="AB72" i="41"/>
  <c r="AC70" i="41"/>
  <c r="AB70" i="41"/>
  <c r="AB71" i="41"/>
  <c r="AC71" i="41"/>
  <c r="AB21" i="41"/>
  <c r="AC21" i="41"/>
  <c r="AB13" i="41"/>
  <c r="AC13" i="41"/>
  <c r="AB40" i="41"/>
  <c r="AC40" i="41"/>
  <c r="AB39" i="41"/>
  <c r="AC39" i="41"/>
  <c r="AB63" i="41"/>
  <c r="AC63" i="41"/>
  <c r="AC49" i="41"/>
  <c r="L101" i="2"/>
  <c r="AE101" i="2"/>
  <c r="AE124" i="2" s="1"/>
  <c r="I46" i="10"/>
  <c r="M69" i="20"/>
  <c r="I75" i="16"/>
  <c r="P93" i="25"/>
  <c r="H143" i="26"/>
  <c r="L25" i="5"/>
  <c r="AF63" i="20"/>
  <c r="AF69" i="20" s="1"/>
  <c r="L69" i="20"/>
  <c r="I30" i="23"/>
  <c r="L31" i="19"/>
  <c r="H53" i="13"/>
  <c r="L61" i="19"/>
  <c r="L62" i="19" s="1"/>
  <c r="K124" i="2"/>
  <c r="G26" i="5"/>
  <c r="L24" i="5"/>
  <c r="L26" i="5" s="1"/>
  <c r="X10" i="38"/>
  <c r="X11" i="38"/>
  <c r="X12" i="38"/>
  <c r="X13" i="38"/>
  <c r="X14" i="38"/>
  <c r="X15" i="38"/>
  <c r="X9" i="38"/>
  <c r="L100" i="2"/>
  <c r="I76" i="16" l="1"/>
  <c r="J65" i="17"/>
  <c r="Z12" i="38"/>
  <c r="Y12" i="38"/>
  <c r="L124" i="2"/>
  <c r="Y11" i="38"/>
  <c r="Z11" i="38"/>
  <c r="H26" i="5"/>
  <c r="I9" i="14"/>
  <c r="J9" i="14" s="1"/>
  <c r="Z9" i="14" s="1"/>
  <c r="I12" i="14"/>
  <c r="J12" i="14" s="1"/>
  <c r="Z12" i="14" s="1"/>
  <c r="I13" i="14"/>
  <c r="J13" i="14" s="1"/>
  <c r="Z13" i="14" s="1"/>
  <c r="I14" i="14"/>
  <c r="J14" i="14" s="1"/>
  <c r="Z14" i="14" s="1"/>
  <c r="I16" i="14"/>
  <c r="J16" i="14" s="1"/>
  <c r="Z16" i="14" s="1"/>
  <c r="I20" i="14"/>
  <c r="J20" i="14" s="1"/>
  <c r="Z20" i="14" s="1"/>
  <c r="I21" i="14"/>
  <c r="J21" i="14" s="1"/>
  <c r="Z21" i="14" s="1"/>
  <c r="I23" i="14"/>
  <c r="J23" i="14" s="1"/>
  <c r="Z23" i="14" s="1"/>
  <c r="I24" i="14"/>
  <c r="J24" i="14" s="1"/>
  <c r="Z24" i="14" s="1"/>
  <c r="I25" i="14"/>
  <c r="J25" i="14" s="1"/>
  <c r="Z25" i="14" s="1"/>
  <c r="I26" i="14"/>
  <c r="J26" i="14" s="1"/>
  <c r="Z26" i="14" s="1"/>
  <c r="I27" i="14"/>
  <c r="J27" i="14" s="1"/>
  <c r="Z27" i="14" s="1"/>
  <c r="I28" i="14"/>
  <c r="J28" i="14" s="1"/>
  <c r="Z28" i="14" s="1"/>
  <c r="I29" i="14"/>
  <c r="J29" i="14" s="1"/>
  <c r="Z29" i="14" s="1"/>
  <c r="I30" i="14"/>
  <c r="J30" i="14" s="1"/>
  <c r="Z30" i="14" s="1"/>
  <c r="I31" i="14"/>
  <c r="J31" i="14" s="1"/>
  <c r="Z31" i="14" s="1"/>
  <c r="I32" i="14"/>
  <c r="J32" i="14" s="1"/>
  <c r="Z32" i="14" s="1"/>
  <c r="I33" i="14"/>
  <c r="J33" i="14" s="1"/>
  <c r="Z33" i="14" s="1"/>
  <c r="Z59" i="18"/>
  <c r="Z58" i="18"/>
  <c r="Z57" i="18"/>
  <c r="Z56" i="18"/>
  <c r="Z52" i="18"/>
  <c r="Z48" i="18"/>
  <c r="Z47" i="18"/>
  <c r="Z46" i="18"/>
  <c r="Z45" i="18"/>
  <c r="Z44" i="18"/>
  <c r="Z43" i="18"/>
  <c r="Z42" i="18"/>
  <c r="Z41" i="18"/>
  <c r="Z40" i="18"/>
  <c r="Z39" i="18"/>
  <c r="Z38" i="18"/>
  <c r="Z37" i="18"/>
  <c r="Z36" i="18"/>
  <c r="Z35" i="18"/>
  <c r="Z10" i="18"/>
  <c r="Z11" i="18"/>
  <c r="Z12" i="18"/>
  <c r="Z13" i="18"/>
  <c r="Z14" i="18"/>
  <c r="Z15" i="18"/>
  <c r="Z16" i="18"/>
  <c r="Z17" i="18"/>
  <c r="Z18" i="18"/>
  <c r="Z19" i="18"/>
  <c r="Z20" i="18"/>
  <c r="Z21" i="18"/>
  <c r="Z22" i="18"/>
  <c r="Z23" i="18"/>
  <c r="Z24" i="18"/>
  <c r="Z25" i="18"/>
  <c r="Z26" i="18"/>
  <c r="Z27" i="18"/>
  <c r="Z28" i="18"/>
  <c r="Z29" i="18"/>
  <c r="Z30" i="18"/>
  <c r="Z31" i="18"/>
  <c r="J45" i="18"/>
  <c r="J41" i="18"/>
  <c r="J37" i="18"/>
  <c r="J10" i="18"/>
  <c r="J12" i="18"/>
  <c r="J16" i="18"/>
  <c r="J18" i="18"/>
  <c r="J20" i="18"/>
  <c r="J24" i="18"/>
  <c r="J26" i="18"/>
  <c r="J28" i="18"/>
  <c r="Y11" i="26"/>
  <c r="AA11" i="26" s="1"/>
  <c r="Y12" i="26"/>
  <c r="AA12" i="26" s="1"/>
  <c r="Y13" i="26"/>
  <c r="AA13" i="26" s="1"/>
  <c r="Y14" i="26"/>
  <c r="AA14" i="26" s="1"/>
  <c r="Y15" i="26"/>
  <c r="AA15" i="26" s="1"/>
  <c r="Y16" i="26"/>
  <c r="AA16" i="26" s="1"/>
  <c r="Y17" i="26"/>
  <c r="AA17" i="26" s="1"/>
  <c r="Y18" i="26"/>
  <c r="AA18" i="26" s="1"/>
  <c r="Y19" i="26"/>
  <c r="AA19" i="26" s="1"/>
  <c r="Y20" i="26"/>
  <c r="AA20" i="26" s="1"/>
  <c r="Y21" i="26"/>
  <c r="AA21" i="26" s="1"/>
  <c r="Y22" i="26"/>
  <c r="AA22" i="26" s="1"/>
  <c r="Y23" i="26"/>
  <c r="AA23" i="26" s="1"/>
  <c r="Y24" i="26"/>
  <c r="AA24" i="26" s="1"/>
  <c r="Y25" i="26"/>
  <c r="AA25" i="26" s="1"/>
  <c r="Y26" i="26"/>
  <c r="AA26" i="26" s="1"/>
  <c r="Y27" i="26"/>
  <c r="AA27" i="26" s="1"/>
  <c r="Y28" i="26"/>
  <c r="AA28" i="26" s="1"/>
  <c r="Y29" i="26"/>
  <c r="AA29" i="26" s="1"/>
  <c r="Y30" i="26"/>
  <c r="AA30" i="26" s="1"/>
  <c r="Y31" i="26"/>
  <c r="AA31" i="26" s="1"/>
  <c r="Y32" i="26"/>
  <c r="AA32" i="26" s="1"/>
  <c r="Y33" i="26"/>
  <c r="AA33" i="26" s="1"/>
  <c r="Y34" i="26"/>
  <c r="AA34" i="26" s="1"/>
  <c r="Y35" i="26"/>
  <c r="AA35" i="26" s="1"/>
  <c r="Y36" i="26"/>
  <c r="AA36" i="26" s="1"/>
  <c r="Y37" i="26"/>
  <c r="AA37" i="26" s="1"/>
  <c r="Y38" i="26"/>
  <c r="AA38" i="26" s="1"/>
  <c r="Y39" i="26"/>
  <c r="AA39" i="26" s="1"/>
  <c r="Y40" i="26"/>
  <c r="AA40" i="26" s="1"/>
  <c r="Y41" i="26"/>
  <c r="AA41" i="26" s="1"/>
  <c r="Y42" i="26"/>
  <c r="AA42" i="26" s="1"/>
  <c r="Y43" i="26"/>
  <c r="AA43" i="26" s="1"/>
  <c r="Y44" i="26"/>
  <c r="AA44" i="26" s="1"/>
  <c r="Y45" i="26"/>
  <c r="AA45" i="26" s="1"/>
  <c r="Y46" i="26"/>
  <c r="AA46" i="26" s="1"/>
  <c r="Y47" i="26"/>
  <c r="AA47" i="26" s="1"/>
  <c r="Y48" i="26"/>
  <c r="AA48" i="26" s="1"/>
  <c r="Y49" i="26"/>
  <c r="AA49" i="26" s="1"/>
  <c r="Y50" i="26"/>
  <c r="AA50" i="26" s="1"/>
  <c r="Y51" i="26"/>
  <c r="AA51" i="26" s="1"/>
  <c r="Y52" i="26"/>
  <c r="AA52" i="26" s="1"/>
  <c r="Y53" i="26"/>
  <c r="AA53" i="26" s="1"/>
  <c r="Y54" i="26"/>
  <c r="AA54" i="26" s="1"/>
  <c r="Y55" i="26"/>
  <c r="AA55" i="26" s="1"/>
  <c r="Y56" i="26"/>
  <c r="AA56" i="26" s="1"/>
  <c r="Y57" i="26"/>
  <c r="AA57" i="26" s="1"/>
  <c r="Y58" i="26"/>
  <c r="AA58" i="26" s="1"/>
  <c r="Y59" i="26"/>
  <c r="AA59" i="26" s="1"/>
  <c r="Y60" i="26"/>
  <c r="AA60" i="26" s="1"/>
  <c r="Y61" i="26"/>
  <c r="AA61" i="26" s="1"/>
  <c r="Y62" i="26"/>
  <c r="AA62" i="26" s="1"/>
  <c r="Y63" i="26"/>
  <c r="AA63" i="26" s="1"/>
  <c r="Y64" i="26"/>
  <c r="AA64" i="26" s="1"/>
  <c r="Y65" i="26"/>
  <c r="AA65" i="26" s="1"/>
  <c r="Y66" i="26"/>
  <c r="AA66" i="26" s="1"/>
  <c r="Y67" i="26"/>
  <c r="AA67" i="26" s="1"/>
  <c r="Y68" i="26"/>
  <c r="AA68" i="26" s="1"/>
  <c r="Y69" i="26"/>
  <c r="AA69" i="26" s="1"/>
  <c r="Y70" i="26"/>
  <c r="AA70" i="26" s="1"/>
  <c r="Y71" i="26"/>
  <c r="AA71" i="26" s="1"/>
  <c r="Y72" i="26"/>
  <c r="AA72" i="26" s="1"/>
  <c r="Y73" i="26"/>
  <c r="AA73" i="26" s="1"/>
  <c r="Y74" i="26"/>
  <c r="AA74" i="26" s="1"/>
  <c r="Y75" i="26"/>
  <c r="AA75" i="26" s="1"/>
  <c r="Y76" i="26"/>
  <c r="AA76" i="26" s="1"/>
  <c r="Y77" i="26"/>
  <c r="AA77" i="26" s="1"/>
  <c r="Y78" i="26"/>
  <c r="AA78" i="26" s="1"/>
  <c r="Y79" i="26"/>
  <c r="AA79" i="26" s="1"/>
  <c r="Y80" i="26"/>
  <c r="AA80" i="26" s="1"/>
  <c r="Y81" i="26"/>
  <c r="AA81" i="26" s="1"/>
  <c r="Y82" i="26"/>
  <c r="AA82" i="26" s="1"/>
  <c r="Y83" i="26"/>
  <c r="AA83" i="26" s="1"/>
  <c r="Y84" i="26"/>
  <c r="AA84" i="26" s="1"/>
  <c r="Y85" i="26"/>
  <c r="AA85" i="26" s="1"/>
  <c r="Y86" i="26"/>
  <c r="AA86" i="26" s="1"/>
  <c r="Y87" i="26"/>
  <c r="AA87" i="26" s="1"/>
  <c r="Y88" i="26"/>
  <c r="AA88" i="26" s="1"/>
  <c r="Y89" i="26"/>
  <c r="AA89" i="26" s="1"/>
  <c r="Y90" i="26"/>
  <c r="AA90" i="26" s="1"/>
  <c r="Y91" i="26"/>
  <c r="AA91" i="26" s="1"/>
  <c r="Y92" i="26"/>
  <c r="AA92" i="26" s="1"/>
  <c r="Y93" i="26"/>
  <c r="AA93" i="26" s="1"/>
  <c r="Y94" i="26"/>
  <c r="AA94" i="26" s="1"/>
  <c r="Y95" i="26"/>
  <c r="AA95" i="26" s="1"/>
  <c r="Y96" i="26"/>
  <c r="AA96" i="26" s="1"/>
  <c r="Y97" i="26"/>
  <c r="AA97" i="26" s="1"/>
  <c r="Y98" i="26"/>
  <c r="AA98" i="26" s="1"/>
  <c r="Y99" i="26"/>
  <c r="AA99" i="26" s="1"/>
  <c r="Y100" i="26"/>
  <c r="AA100" i="26" s="1"/>
  <c r="Y101" i="26"/>
  <c r="AA101" i="26" s="1"/>
  <c r="Y102" i="26"/>
  <c r="AA102" i="26" s="1"/>
  <c r="Y103" i="26"/>
  <c r="AA103" i="26" s="1"/>
  <c r="Y104" i="26"/>
  <c r="AA104" i="26" s="1"/>
  <c r="Y105" i="26"/>
  <c r="AA105" i="26" s="1"/>
  <c r="Y106" i="26"/>
  <c r="AA106" i="26" s="1"/>
  <c r="Y107" i="26"/>
  <c r="AA107" i="26" s="1"/>
  <c r="Y108" i="26"/>
  <c r="AA108" i="26" s="1"/>
  <c r="Y109" i="26"/>
  <c r="AA109" i="26" s="1"/>
  <c r="Y110" i="26"/>
  <c r="AA110" i="26" s="1"/>
  <c r="Y111" i="26"/>
  <c r="AA111" i="26" s="1"/>
  <c r="Y112" i="26"/>
  <c r="AA112" i="26" s="1"/>
  <c r="Y113" i="26"/>
  <c r="AA113" i="26" s="1"/>
  <c r="Y114" i="26"/>
  <c r="AA114" i="26" s="1"/>
  <c r="Y115" i="26"/>
  <c r="AA115" i="26" s="1"/>
  <c r="Y116" i="26"/>
  <c r="AA116" i="26" s="1"/>
  <c r="Y117" i="26"/>
  <c r="AA117" i="26" s="1"/>
  <c r="Y118" i="26"/>
  <c r="AA118" i="26" s="1"/>
  <c r="Y119" i="26"/>
  <c r="AA119" i="26" s="1"/>
  <c r="Y120" i="26"/>
  <c r="AA120" i="26" s="1"/>
  <c r="Y121" i="26"/>
  <c r="AA121" i="26" s="1"/>
  <c r="Y122" i="26"/>
  <c r="AA122" i="26" s="1"/>
  <c r="Y123" i="26"/>
  <c r="AA123" i="26" s="1"/>
  <c r="Y124" i="26"/>
  <c r="AA124" i="26" s="1"/>
  <c r="Y125" i="26"/>
  <c r="AA125" i="26" s="1"/>
  <c r="Y126" i="26"/>
  <c r="AA126" i="26" s="1"/>
  <c r="Y127" i="26"/>
  <c r="AA127" i="26" s="1"/>
  <c r="Y128" i="26"/>
  <c r="AA128" i="26" s="1"/>
  <c r="Y129" i="26"/>
  <c r="AA129" i="26" s="1"/>
  <c r="Y130" i="26"/>
  <c r="AA130" i="26" s="1"/>
  <c r="Y131" i="26"/>
  <c r="AA131" i="26" s="1"/>
  <c r="Y132" i="26"/>
  <c r="AA132" i="26" s="1"/>
  <c r="Y134" i="26"/>
  <c r="AA134" i="26" s="1"/>
  <c r="Y135" i="26"/>
  <c r="AA135" i="26" s="1"/>
  <c r="Y136" i="26"/>
  <c r="AA136" i="26" s="1"/>
  <c r="Y137" i="26"/>
  <c r="AA137" i="26" s="1"/>
  <c r="Y138" i="26"/>
  <c r="AA138" i="26" s="1"/>
  <c r="Y139" i="26"/>
  <c r="AA139" i="26" s="1"/>
  <c r="Y140" i="26"/>
  <c r="AA140" i="26" s="1"/>
  <c r="K141" i="26"/>
  <c r="L141" i="26"/>
  <c r="M141" i="26"/>
  <c r="O141" i="26"/>
  <c r="O145" i="26" s="1"/>
  <c r="P141" i="26"/>
  <c r="Q141" i="26"/>
  <c r="R141" i="26"/>
  <c r="S141" i="26"/>
  <c r="T141" i="26"/>
  <c r="U141" i="26"/>
  <c r="V141" i="26"/>
  <c r="W141" i="26"/>
  <c r="X141" i="26"/>
  <c r="AF87" i="25"/>
  <c r="AF88" i="25"/>
  <c r="AF89" i="25"/>
  <c r="AF90" i="25"/>
  <c r="AF91" i="25"/>
  <c r="AF92" i="25"/>
  <c r="AF33" i="25"/>
  <c r="AH33" i="25" s="1"/>
  <c r="AF34" i="25"/>
  <c r="AH34" i="25" s="1"/>
  <c r="AF35" i="25"/>
  <c r="AH35" i="25" s="1"/>
  <c r="AF36" i="25"/>
  <c r="AH36" i="25" s="1"/>
  <c r="AF37" i="25"/>
  <c r="AH37" i="25" s="1"/>
  <c r="AF38" i="25"/>
  <c r="AH38" i="25" s="1"/>
  <c r="AF39" i="25"/>
  <c r="AH39" i="25" s="1"/>
  <c r="AF40" i="25"/>
  <c r="AF41" i="25"/>
  <c r="AH41" i="25" s="1"/>
  <c r="AF42" i="25"/>
  <c r="AH42" i="25" s="1"/>
  <c r="AF43" i="25"/>
  <c r="AH43" i="25" s="1"/>
  <c r="AF44" i="25"/>
  <c r="AH44" i="25" s="1"/>
  <c r="AF45" i="25"/>
  <c r="AH45" i="25" s="1"/>
  <c r="AF46" i="25"/>
  <c r="AH46" i="25" s="1"/>
  <c r="AF47" i="25"/>
  <c r="AF48" i="25"/>
  <c r="AH48" i="25" s="1"/>
  <c r="AF49" i="25"/>
  <c r="AH49" i="25" s="1"/>
  <c r="AF50" i="25"/>
  <c r="AF51" i="25"/>
  <c r="AH51" i="25" s="1"/>
  <c r="AF52" i="25"/>
  <c r="AF53" i="25"/>
  <c r="AH53" i="25" s="1"/>
  <c r="AF54" i="25"/>
  <c r="AH54" i="25" s="1"/>
  <c r="AF56" i="25"/>
  <c r="AH56" i="25" s="1"/>
  <c r="AF57" i="25"/>
  <c r="AF58" i="25"/>
  <c r="AF60" i="25"/>
  <c r="AH60" i="25" s="1"/>
  <c r="AF61" i="25"/>
  <c r="AH61" i="25" s="1"/>
  <c r="AF62" i="25"/>
  <c r="AH62" i="25" s="1"/>
  <c r="AF63" i="25"/>
  <c r="AH63" i="25" s="1"/>
  <c r="AF64" i="25"/>
  <c r="AH64" i="25" s="1"/>
  <c r="AF65" i="25"/>
  <c r="AH65" i="25" s="1"/>
  <c r="AF67" i="25"/>
  <c r="AF68" i="25"/>
  <c r="AF69" i="25"/>
  <c r="AH69" i="25" s="1"/>
  <c r="AF70" i="25"/>
  <c r="AH70" i="25" s="1"/>
  <c r="AF71" i="25"/>
  <c r="AH71" i="25" s="1"/>
  <c r="AF72" i="25"/>
  <c r="AF74" i="25"/>
  <c r="AH74" i="25" s="1"/>
  <c r="AF75" i="25"/>
  <c r="AF76" i="25"/>
  <c r="AH76" i="25" s="1"/>
  <c r="AF77" i="25"/>
  <c r="AH77" i="25" s="1"/>
  <c r="AF78" i="25"/>
  <c r="AH78" i="25" s="1"/>
  <c r="AF79" i="25"/>
  <c r="AH79" i="25" s="1"/>
  <c r="AF80" i="25"/>
  <c r="AH80" i="25" s="1"/>
  <c r="AF81" i="25"/>
  <c r="AH81" i="25" s="1"/>
  <c r="AF82" i="25"/>
  <c r="AF9" i="25"/>
  <c r="AF10" i="25"/>
  <c r="AF11" i="25"/>
  <c r="AF12" i="25"/>
  <c r="AF13" i="25"/>
  <c r="AF14" i="25"/>
  <c r="AF15" i="25"/>
  <c r="AF16" i="25"/>
  <c r="AF17" i="25"/>
  <c r="AF18" i="25"/>
  <c r="AF19" i="25"/>
  <c r="AF20" i="25"/>
  <c r="AF21" i="25"/>
  <c r="AF22" i="25"/>
  <c r="AF23" i="25"/>
  <c r="AF24" i="25"/>
  <c r="AF25" i="25"/>
  <c r="AF26" i="25"/>
  <c r="AF27" i="25"/>
  <c r="AF28" i="25"/>
  <c r="AF29" i="25"/>
  <c r="AC108" i="24"/>
  <c r="AC109" i="24"/>
  <c r="AC110" i="24"/>
  <c r="AC111" i="24"/>
  <c r="AC112" i="24"/>
  <c r="AC113" i="24"/>
  <c r="AC114" i="24"/>
  <c r="AC115" i="24"/>
  <c r="AC116" i="24"/>
  <c r="AC117" i="24"/>
  <c r="AC118" i="24"/>
  <c r="AC119" i="24"/>
  <c r="AC120" i="24"/>
  <c r="AC121" i="24"/>
  <c r="AC122" i="24"/>
  <c r="AC123" i="24"/>
  <c r="AC124" i="24"/>
  <c r="AC125" i="24"/>
  <c r="AC126" i="24"/>
  <c r="AC127" i="24"/>
  <c r="AC128" i="24"/>
  <c r="AC129" i="24"/>
  <c r="AC130" i="24"/>
  <c r="AC131" i="24"/>
  <c r="AC132" i="24"/>
  <c r="AC133" i="24"/>
  <c r="AC134" i="24"/>
  <c r="AC135" i="24"/>
  <c r="AC136" i="24"/>
  <c r="AG91" i="25" l="1"/>
  <c r="AH91" i="25"/>
  <c r="AG87" i="25"/>
  <c r="AH87" i="25"/>
  <c r="AH90" i="25"/>
  <c r="AG90" i="25"/>
  <c r="AG89" i="25"/>
  <c r="AH89" i="25"/>
  <c r="AH92" i="25"/>
  <c r="AG92" i="25"/>
  <c r="AH88" i="25"/>
  <c r="AG88" i="25"/>
  <c r="AG82" i="25"/>
  <c r="AH82" i="25"/>
  <c r="AG29" i="25"/>
  <c r="AH29" i="25"/>
  <c r="AH50" i="25"/>
  <c r="AH52" i="25"/>
  <c r="AH47" i="25"/>
  <c r="AH75" i="25"/>
  <c r="AH72" i="25"/>
  <c r="AH67" i="25"/>
  <c r="AH68" i="25"/>
  <c r="AH58" i="25"/>
  <c r="AH57" i="25"/>
  <c r="AH40" i="25"/>
  <c r="AH10" i="25"/>
  <c r="AH20" i="25"/>
  <c r="AH12" i="25"/>
  <c r="AH26" i="25"/>
  <c r="AH22" i="25"/>
  <c r="AH18" i="25"/>
  <c r="AH14" i="25"/>
  <c r="AH25" i="25"/>
  <c r="AH21" i="25"/>
  <c r="AH17" i="25"/>
  <c r="AH13" i="25"/>
  <c r="AH9" i="25"/>
  <c r="AH28" i="25"/>
  <c r="AH24" i="25"/>
  <c r="AH16" i="25"/>
  <c r="AH27" i="25"/>
  <c r="AH23" i="25"/>
  <c r="AH19" i="25"/>
  <c r="AH15" i="25"/>
  <c r="AH11" i="25"/>
  <c r="Z60" i="18"/>
  <c r="AB30" i="18"/>
  <c r="J27" i="18"/>
  <c r="AB27" i="18"/>
  <c r="AB22" i="18"/>
  <c r="J19" i="18"/>
  <c r="AB19" i="18"/>
  <c r="AB14" i="18"/>
  <c r="J11" i="18"/>
  <c r="AB11" i="18"/>
  <c r="AB35" i="18"/>
  <c r="J40" i="18"/>
  <c r="AB40" i="18"/>
  <c r="AB43" i="18"/>
  <c r="J48" i="18"/>
  <c r="AB48" i="18"/>
  <c r="J29" i="18"/>
  <c r="AB29" i="18"/>
  <c r="AB24" i="18"/>
  <c r="J21" i="18"/>
  <c r="AB21" i="18"/>
  <c r="AB16" i="18"/>
  <c r="J13" i="18"/>
  <c r="AB13" i="18"/>
  <c r="J35" i="18"/>
  <c r="J38" i="18"/>
  <c r="AB38" i="18"/>
  <c r="AB41" i="18"/>
  <c r="J43" i="18"/>
  <c r="AA31" i="18"/>
  <c r="AB31" i="18"/>
  <c r="AB26" i="18"/>
  <c r="J23" i="18"/>
  <c r="AB23" i="18"/>
  <c r="AB18" i="18"/>
  <c r="J15" i="18"/>
  <c r="AB15" i="18"/>
  <c r="I15" i="18"/>
  <c r="AB10" i="18"/>
  <c r="J36" i="18"/>
  <c r="AB36" i="18"/>
  <c r="J44" i="18"/>
  <c r="AB44" i="18"/>
  <c r="AB47" i="18"/>
  <c r="J30" i="18"/>
  <c r="AB28" i="18"/>
  <c r="J25" i="18"/>
  <c r="AB25" i="18"/>
  <c r="J22" i="18"/>
  <c r="AB20" i="18"/>
  <c r="J17" i="18"/>
  <c r="AB17" i="18"/>
  <c r="J14" i="18"/>
  <c r="AB12" i="18"/>
  <c r="J34" i="18"/>
  <c r="AB34" i="18"/>
  <c r="AB37" i="18"/>
  <c r="J42" i="18"/>
  <c r="AB42" i="18"/>
  <c r="AB45" i="18"/>
  <c r="J47" i="18"/>
  <c r="Z49" i="18"/>
  <c r="AB10" i="29" l="1"/>
  <c r="AB11" i="29"/>
  <c r="AB12" i="29"/>
  <c r="AB13" i="29"/>
  <c r="AB14" i="29"/>
  <c r="AD14" i="29" s="1"/>
  <c r="AB15" i="29"/>
  <c r="AD15" i="29" s="1"/>
  <c r="AB16" i="29"/>
  <c r="AD16" i="29" s="1"/>
  <c r="AB17" i="29"/>
  <c r="AD17" i="29" s="1"/>
  <c r="AB18" i="29"/>
  <c r="AD18" i="29" s="1"/>
  <c r="AB19" i="29"/>
  <c r="AD19" i="29" s="1"/>
  <c r="AB20" i="29"/>
  <c r="AD20" i="29" s="1"/>
  <c r="AB21" i="29"/>
  <c r="AD21" i="29" s="1"/>
  <c r="AB22" i="29"/>
  <c r="AD22" i="29" s="1"/>
  <c r="AB23" i="29"/>
  <c r="AD23" i="29" s="1"/>
  <c r="AB24" i="29"/>
  <c r="AD24" i="29" s="1"/>
  <c r="AB25" i="29"/>
  <c r="AB26" i="29"/>
  <c r="AB27" i="29"/>
  <c r="AB28" i="29"/>
  <c r="AB29" i="29"/>
  <c r="AD29" i="29" s="1"/>
  <c r="L10" i="29"/>
  <c r="L11" i="29"/>
  <c r="M11" i="29" s="1"/>
  <c r="L12" i="29"/>
  <c r="M12" i="29" s="1"/>
  <c r="L13" i="29"/>
  <c r="M13" i="29" s="1"/>
  <c r="L14" i="29"/>
  <c r="M14" i="29" s="1"/>
  <c r="AC14" i="29" s="1"/>
  <c r="L15" i="29"/>
  <c r="M15" i="29" s="1"/>
  <c r="AC15" i="29" s="1"/>
  <c r="L16" i="29"/>
  <c r="M16" i="29" s="1"/>
  <c r="AC16" i="29" s="1"/>
  <c r="L17" i="29"/>
  <c r="M17" i="29" s="1"/>
  <c r="AC17" i="29" s="1"/>
  <c r="L18" i="29"/>
  <c r="M18" i="29" s="1"/>
  <c r="AC18" i="29" s="1"/>
  <c r="L19" i="29"/>
  <c r="M19" i="29" s="1"/>
  <c r="AC19" i="29" s="1"/>
  <c r="L20" i="29"/>
  <c r="M20" i="29" s="1"/>
  <c r="AC20" i="29" s="1"/>
  <c r="L21" i="29"/>
  <c r="M21" i="29" s="1"/>
  <c r="L22" i="29"/>
  <c r="M22" i="29" s="1"/>
  <c r="AC22" i="29" s="1"/>
  <c r="L23" i="29"/>
  <c r="M23" i="29" s="1"/>
  <c r="AC23" i="29" s="1"/>
  <c r="L24" i="29"/>
  <c r="M24" i="29" s="1"/>
  <c r="AC24" i="29" s="1"/>
  <c r="L25" i="29"/>
  <c r="M25" i="29" s="1"/>
  <c r="L26" i="29"/>
  <c r="M26" i="29" s="1"/>
  <c r="L27" i="29"/>
  <c r="M27" i="29" s="1"/>
  <c r="L28" i="29"/>
  <c r="M28" i="29" s="1"/>
  <c r="H65" i="23"/>
  <c r="I65" i="23"/>
  <c r="L65" i="23"/>
  <c r="M65" i="23"/>
  <c r="N65" i="23"/>
  <c r="O65" i="23"/>
  <c r="P65" i="23"/>
  <c r="Q65" i="23"/>
  <c r="R65" i="23"/>
  <c r="S65" i="23"/>
  <c r="T65" i="23"/>
  <c r="U65" i="23"/>
  <c r="V65" i="23"/>
  <c r="W65" i="23"/>
  <c r="X65" i="23"/>
  <c r="Y65" i="23"/>
  <c r="Z88" i="23"/>
  <c r="AB88" i="23" s="1"/>
  <c r="Z89" i="23"/>
  <c r="AB89" i="23" s="1"/>
  <c r="Z90" i="23"/>
  <c r="AB90" i="23" s="1"/>
  <c r="Z91" i="23"/>
  <c r="Z92" i="23"/>
  <c r="AB92" i="23" s="1"/>
  <c r="Z93" i="23"/>
  <c r="AB93" i="23" s="1"/>
  <c r="Z94" i="23"/>
  <c r="Z95" i="23"/>
  <c r="Z96" i="23"/>
  <c r="Z97" i="23"/>
  <c r="Z98" i="23"/>
  <c r="AB98" i="23" s="1"/>
  <c r="Z99" i="23"/>
  <c r="Z100" i="23"/>
  <c r="Z101" i="23"/>
  <c r="Z102" i="23"/>
  <c r="Z103" i="23"/>
  <c r="AB103" i="23" s="1"/>
  <c r="Z104" i="23"/>
  <c r="AB104" i="23" s="1"/>
  <c r="Z105" i="23"/>
  <c r="AB105" i="23" s="1"/>
  <c r="Z106" i="23"/>
  <c r="AB106" i="23" s="1"/>
  <c r="Z107" i="23"/>
  <c r="AB107" i="23" s="1"/>
  <c r="Z108" i="23"/>
  <c r="AB108" i="23" s="1"/>
  <c r="Z109" i="23"/>
  <c r="AB109" i="23" s="1"/>
  <c r="Z110" i="23"/>
  <c r="Z111" i="23"/>
  <c r="AB111" i="23" s="1"/>
  <c r="Z112" i="23"/>
  <c r="AB112" i="23" s="1"/>
  <c r="Z113" i="23"/>
  <c r="AB113" i="23" s="1"/>
  <c r="Z114" i="23"/>
  <c r="Z115" i="23"/>
  <c r="Z116" i="23"/>
  <c r="AB116" i="23" s="1"/>
  <c r="Z117" i="23"/>
  <c r="AB117" i="23" s="1"/>
  <c r="Z118" i="23"/>
  <c r="Z119" i="23"/>
  <c r="AB119" i="23" s="1"/>
  <c r="Z120" i="23"/>
  <c r="AB120" i="23" s="1"/>
  <c r="Z121" i="23"/>
  <c r="Z122" i="23"/>
  <c r="Z123" i="23"/>
  <c r="AB123" i="23" s="1"/>
  <c r="Z124" i="23"/>
  <c r="Z125" i="23"/>
  <c r="Z126" i="23"/>
  <c r="AB126" i="23" s="1"/>
  <c r="Z127" i="23"/>
  <c r="AB127" i="23" s="1"/>
  <c r="Z128" i="23"/>
  <c r="Z129" i="23"/>
  <c r="Z130" i="23"/>
  <c r="Z131" i="23"/>
  <c r="AB131" i="23" s="1"/>
  <c r="Z132" i="23"/>
  <c r="AB132" i="23" s="1"/>
  <c r="J88" i="23"/>
  <c r="K88" i="23"/>
  <c r="L42" i="23"/>
  <c r="Z33" i="23"/>
  <c r="Z34" i="23"/>
  <c r="AB34" i="23" s="1"/>
  <c r="Z35" i="23"/>
  <c r="Z36" i="23"/>
  <c r="AB36" i="23" s="1"/>
  <c r="Z37" i="23"/>
  <c r="AB37" i="23" s="1"/>
  <c r="Z38" i="23"/>
  <c r="AB38" i="23" s="1"/>
  <c r="Z39" i="23"/>
  <c r="AB39" i="23" s="1"/>
  <c r="Z40" i="23"/>
  <c r="Z41" i="23"/>
  <c r="Z43" i="23"/>
  <c r="AB43" i="23" s="1"/>
  <c r="Z44" i="23"/>
  <c r="AB44" i="23" s="1"/>
  <c r="Z45" i="23"/>
  <c r="AB45" i="23" s="1"/>
  <c r="Z46" i="23"/>
  <c r="AB46" i="23" s="1"/>
  <c r="Z47" i="23"/>
  <c r="AB47" i="23" s="1"/>
  <c r="Z48" i="23"/>
  <c r="AB48" i="23" s="1"/>
  <c r="Z49" i="23"/>
  <c r="AB49" i="23" s="1"/>
  <c r="Z50" i="23"/>
  <c r="AB50" i="23" s="1"/>
  <c r="Z51" i="23"/>
  <c r="AB51" i="23" s="1"/>
  <c r="Z52" i="23"/>
  <c r="AB52" i="23" s="1"/>
  <c r="Z53" i="23"/>
  <c r="Z54" i="23"/>
  <c r="Z55" i="23"/>
  <c r="AB55" i="23" s="1"/>
  <c r="Z56" i="23"/>
  <c r="AB56" i="23" s="1"/>
  <c r="J34" i="23"/>
  <c r="K34" i="23" s="1"/>
  <c r="AA34" i="23" s="1"/>
  <c r="J35" i="23"/>
  <c r="K35" i="23" s="1"/>
  <c r="J36" i="23"/>
  <c r="K36" i="23" s="1"/>
  <c r="J37" i="23"/>
  <c r="K37" i="23" s="1"/>
  <c r="J38" i="23"/>
  <c r="K38" i="23" s="1"/>
  <c r="AA38" i="23" s="1"/>
  <c r="J39" i="23"/>
  <c r="K39" i="23" s="1"/>
  <c r="J40" i="23"/>
  <c r="K40" i="23" s="1"/>
  <c r="J41" i="23"/>
  <c r="K41" i="23" s="1"/>
  <c r="J43" i="23"/>
  <c r="K43" i="23" s="1"/>
  <c r="AA43" i="23" s="1"/>
  <c r="J44" i="23"/>
  <c r="K44" i="23" s="1"/>
  <c r="J45" i="23"/>
  <c r="K45" i="23" s="1"/>
  <c r="J46" i="23"/>
  <c r="K46" i="23" s="1"/>
  <c r="J47" i="23"/>
  <c r="K47" i="23" s="1"/>
  <c r="J48" i="23"/>
  <c r="K48" i="23" s="1"/>
  <c r="J49" i="23"/>
  <c r="K49" i="23" s="1"/>
  <c r="AA49" i="23" s="1"/>
  <c r="J50" i="23"/>
  <c r="K50" i="23" s="1"/>
  <c r="J51" i="23"/>
  <c r="K51" i="23" s="1"/>
  <c r="J52" i="23"/>
  <c r="K52" i="23" s="1"/>
  <c r="J53" i="23"/>
  <c r="K53" i="23"/>
  <c r="J55" i="23"/>
  <c r="K55" i="23" s="1"/>
  <c r="J56" i="23"/>
  <c r="K56" i="23" s="1"/>
  <c r="Z10" i="23"/>
  <c r="AB10" i="23" s="1"/>
  <c r="Z11" i="23"/>
  <c r="Z12" i="23"/>
  <c r="Z13" i="23"/>
  <c r="Z14" i="23"/>
  <c r="AB14" i="23" s="1"/>
  <c r="Z15" i="23"/>
  <c r="AB15" i="23" s="1"/>
  <c r="Z16" i="23"/>
  <c r="AB16" i="23" s="1"/>
  <c r="Z17" i="23"/>
  <c r="AB17" i="23" s="1"/>
  <c r="Z18" i="23"/>
  <c r="AB18" i="23" s="1"/>
  <c r="Z19" i="23"/>
  <c r="AB19" i="23" s="1"/>
  <c r="Z20" i="23"/>
  <c r="AB20" i="23" s="1"/>
  <c r="Z21" i="23"/>
  <c r="AB21" i="23" s="1"/>
  <c r="Z22" i="23"/>
  <c r="AB22" i="23" s="1"/>
  <c r="Z23" i="23"/>
  <c r="AB23" i="23" s="1"/>
  <c r="Z24" i="23"/>
  <c r="AB24" i="23" s="1"/>
  <c r="J10" i="23"/>
  <c r="K10" i="23" s="1"/>
  <c r="AA10" i="23" s="1"/>
  <c r="J11" i="23"/>
  <c r="K11" i="23" s="1"/>
  <c r="J12" i="23"/>
  <c r="K12" i="23"/>
  <c r="J13" i="23"/>
  <c r="K13" i="23" s="1"/>
  <c r="J14" i="23"/>
  <c r="K14" i="23" s="1"/>
  <c r="AA14" i="23" s="1"/>
  <c r="J15" i="23"/>
  <c r="K15" i="23" s="1"/>
  <c r="J16" i="23"/>
  <c r="K16" i="23" s="1"/>
  <c r="J17" i="23"/>
  <c r="K17" i="23" s="1"/>
  <c r="J18" i="23"/>
  <c r="K18" i="23" s="1"/>
  <c r="AA18" i="23" s="1"/>
  <c r="J19" i="23"/>
  <c r="K19" i="23" s="1"/>
  <c r="J20" i="23"/>
  <c r="K20" i="23" s="1"/>
  <c r="J21" i="23"/>
  <c r="K21" i="23" s="1"/>
  <c r="J22" i="23"/>
  <c r="K22" i="23" s="1"/>
  <c r="J23" i="23"/>
  <c r="K23" i="23" s="1"/>
  <c r="J24" i="23"/>
  <c r="K24" i="23" s="1"/>
  <c r="J25" i="23"/>
  <c r="K25" i="23" s="1"/>
  <c r="AA25" i="23" s="1"/>
  <c r="J26" i="23"/>
  <c r="K26" i="23" s="1"/>
  <c r="AA26" i="23" s="1"/>
  <c r="J27" i="23"/>
  <c r="K27" i="23" s="1"/>
  <c r="AA27" i="23" s="1"/>
  <c r="J28" i="23"/>
  <c r="K28" i="23"/>
  <c r="AA28" i="23" s="1"/>
  <c r="J29" i="23"/>
  <c r="K29" i="23" s="1"/>
  <c r="AA29" i="23" s="1"/>
  <c r="AD129" i="22"/>
  <c r="AF129" i="22" s="1"/>
  <c r="AD130" i="22"/>
  <c r="AF130" i="22" s="1"/>
  <c r="AD131" i="22"/>
  <c r="AF131" i="22" s="1"/>
  <c r="AD132" i="22"/>
  <c r="AF132" i="22" s="1"/>
  <c r="AD133" i="22"/>
  <c r="AF133" i="22" s="1"/>
  <c r="AD134" i="22"/>
  <c r="AF134" i="22" s="1"/>
  <c r="AD135" i="22"/>
  <c r="AF135" i="22" s="1"/>
  <c r="AD136" i="22"/>
  <c r="AF136" i="22" s="1"/>
  <c r="AD137" i="22"/>
  <c r="AF137" i="22" s="1"/>
  <c r="AD138" i="22"/>
  <c r="AF138" i="22" s="1"/>
  <c r="AD139" i="22"/>
  <c r="AF139" i="22" s="1"/>
  <c r="AD140" i="22"/>
  <c r="AF140" i="22" s="1"/>
  <c r="AD141" i="22"/>
  <c r="AF141" i="22" s="1"/>
  <c r="AD142" i="22"/>
  <c r="AF142" i="22" s="1"/>
  <c r="AD143" i="22"/>
  <c r="AF143" i="22" s="1"/>
  <c r="AD144" i="22"/>
  <c r="AF144" i="22" s="1"/>
  <c r="AD145" i="22"/>
  <c r="AF145" i="22" s="1"/>
  <c r="AD146" i="22"/>
  <c r="AF146" i="22" s="1"/>
  <c r="AD147" i="22"/>
  <c r="AD148" i="22"/>
  <c r="AD149" i="22"/>
  <c r="AF149" i="22" s="1"/>
  <c r="AD150" i="22"/>
  <c r="AF150" i="22" s="1"/>
  <c r="AD151" i="22"/>
  <c r="AF151" i="22" s="1"/>
  <c r="AD152" i="22"/>
  <c r="AF152" i="22" s="1"/>
  <c r="AD153" i="22"/>
  <c r="AF153" i="22" s="1"/>
  <c r="AD154" i="22"/>
  <c r="AF154" i="22" s="1"/>
  <c r="AD155" i="22"/>
  <c r="AF155" i="22" s="1"/>
  <c r="AD156" i="22"/>
  <c r="AF156" i="22" s="1"/>
  <c r="AD157" i="22"/>
  <c r="AF157" i="22" s="1"/>
  <c r="AD158" i="22"/>
  <c r="AF158" i="22" s="1"/>
  <c r="AD159" i="22"/>
  <c r="AF159" i="22" s="1"/>
  <c r="AD160" i="22"/>
  <c r="AF160" i="22" s="1"/>
  <c r="AD161" i="22"/>
  <c r="AF161" i="22" s="1"/>
  <c r="AD162" i="22"/>
  <c r="AF162" i="22" s="1"/>
  <c r="AD163" i="22"/>
  <c r="AF163" i="22" s="1"/>
  <c r="AD164" i="22"/>
  <c r="AF164" i="22" s="1"/>
  <c r="AD165" i="22"/>
  <c r="AF165" i="22" s="1"/>
  <c r="AD166" i="22"/>
  <c r="AF166" i="22" s="1"/>
  <c r="AD167" i="22"/>
  <c r="AF167" i="22" s="1"/>
  <c r="AD168" i="22"/>
  <c r="AF168" i="22" s="1"/>
  <c r="AD169" i="22"/>
  <c r="AF169" i="22" s="1"/>
  <c r="AD170" i="22"/>
  <c r="AF170" i="22" s="1"/>
  <c r="AD171" i="22"/>
  <c r="AF171" i="22" s="1"/>
  <c r="AD172" i="22"/>
  <c r="AF172" i="22" s="1"/>
  <c r="AD173" i="22"/>
  <c r="AF173" i="22" s="1"/>
  <c r="AD174" i="22"/>
  <c r="AF174" i="22" s="1"/>
  <c r="AD175" i="22"/>
  <c r="AF175" i="22" s="1"/>
  <c r="AD176" i="22"/>
  <c r="AF176" i="22" s="1"/>
  <c r="N176" i="22"/>
  <c r="O176" i="22" s="1"/>
  <c r="AE176" i="22" s="1"/>
  <c r="AF37" i="22"/>
  <c r="AF46" i="22"/>
  <c r="AF47" i="22"/>
  <c r="AF57" i="22"/>
  <c r="AF62" i="22"/>
  <c r="AF76" i="22"/>
  <c r="AF10" i="22"/>
  <c r="AF11" i="22"/>
  <c r="AF12" i="22"/>
  <c r="AF13" i="22"/>
  <c r="AF14" i="22"/>
  <c r="AF15" i="22"/>
  <c r="AF16" i="22"/>
  <c r="AF17" i="22"/>
  <c r="AF28" i="22"/>
  <c r="AF29" i="22"/>
  <c r="AF30" i="22"/>
  <c r="AF31" i="22"/>
  <c r="AB13" i="21"/>
  <c r="AD13" i="21" s="1"/>
  <c r="AB14" i="21"/>
  <c r="AD14" i="21" s="1"/>
  <c r="AB15" i="21"/>
  <c r="AD15" i="21" s="1"/>
  <c r="AB16" i="21"/>
  <c r="AD16" i="21" s="1"/>
  <c r="AB17" i="21"/>
  <c r="AD17" i="21" s="1"/>
  <c r="AB18" i="21"/>
  <c r="AD18" i="21" s="1"/>
  <c r="AB19" i="21"/>
  <c r="AD19" i="21" s="1"/>
  <c r="AB20" i="21"/>
  <c r="AD20" i="21" s="1"/>
  <c r="AB21" i="21"/>
  <c r="AD21" i="21" s="1"/>
  <c r="AB22" i="21"/>
  <c r="AD22" i="21" s="1"/>
  <c r="AB23" i="21"/>
  <c r="AD23" i="21" s="1"/>
  <c r="AB24" i="21"/>
  <c r="AD24" i="21" s="1"/>
  <c r="AB25" i="21"/>
  <c r="AD25" i="21" s="1"/>
  <c r="AB26" i="21"/>
  <c r="AD26" i="21" s="1"/>
  <c r="AB27" i="21"/>
  <c r="AD27" i="21" s="1"/>
  <c r="AB28" i="21"/>
  <c r="AD28" i="21" s="1"/>
  <c r="AB29" i="21"/>
  <c r="AD29" i="21" s="1"/>
  <c r="AB30" i="21"/>
  <c r="AD30" i="21" s="1"/>
  <c r="AB31" i="21"/>
  <c r="AD31" i="21" s="1"/>
  <c r="N14" i="20"/>
  <c r="O14" i="20" s="1"/>
  <c r="AE14" i="20" s="1"/>
  <c r="N15" i="20"/>
  <c r="O15" i="20" s="1"/>
  <c r="AE15" i="20" s="1"/>
  <c r="N16" i="20"/>
  <c r="O16" i="20" s="1"/>
  <c r="AE16" i="20" s="1"/>
  <c r="N17" i="20"/>
  <c r="O17" i="20" s="1"/>
  <c r="AE17" i="20" s="1"/>
  <c r="N18" i="20"/>
  <c r="O18" i="20"/>
  <c r="AE18" i="20" s="1"/>
  <c r="N19" i="20"/>
  <c r="O19" i="20" s="1"/>
  <c r="AE19" i="20" s="1"/>
  <c r="N20" i="20"/>
  <c r="O20" i="20" s="1"/>
  <c r="AE20" i="20" s="1"/>
  <c r="N30" i="20"/>
  <c r="O30" i="20" s="1"/>
  <c r="N29" i="20"/>
  <c r="O29" i="20" s="1"/>
  <c r="AE29" i="20" s="1"/>
  <c r="N28" i="20"/>
  <c r="O28" i="20" s="1"/>
  <c r="AE28" i="20" s="1"/>
  <c r="N27" i="20"/>
  <c r="O27" i="20" s="1"/>
  <c r="AE27" i="20" s="1"/>
  <c r="N26" i="20"/>
  <c r="O26" i="20" s="1"/>
  <c r="AE26" i="20" s="1"/>
  <c r="N25" i="20"/>
  <c r="O25" i="20" s="1"/>
  <c r="AE25" i="20" s="1"/>
  <c r="N24" i="20"/>
  <c r="O24" i="20" s="1"/>
  <c r="AE24" i="20" s="1"/>
  <c r="N23" i="20"/>
  <c r="O23" i="20" s="1"/>
  <c r="AE23" i="20" s="1"/>
  <c r="N22" i="20"/>
  <c r="O22" i="20" s="1"/>
  <c r="AE22" i="20" s="1"/>
  <c r="N21" i="20"/>
  <c r="O21" i="20" s="1"/>
  <c r="AE21" i="20" s="1"/>
  <c r="N9" i="20"/>
  <c r="O9" i="20" s="1"/>
  <c r="AE9" i="20" s="1"/>
  <c r="N10" i="20"/>
  <c r="O10" i="20" s="1"/>
  <c r="AE10" i="20" s="1"/>
  <c r="N11" i="20"/>
  <c r="O11" i="20" s="1"/>
  <c r="AE11" i="20" s="1"/>
  <c r="N12" i="20"/>
  <c r="O12" i="20" s="1"/>
  <c r="AE12" i="20" s="1"/>
  <c r="N13" i="20"/>
  <c r="O13" i="20" s="1"/>
  <c r="AE13" i="20" s="1"/>
  <c r="N59" i="19"/>
  <c r="N60" i="19"/>
  <c r="N58" i="19"/>
  <c r="N53" i="19"/>
  <c r="N30" i="19"/>
  <c r="J34" i="16"/>
  <c r="K34" i="16" s="1"/>
  <c r="J35" i="16"/>
  <c r="K35" i="16" s="1"/>
  <c r="J36" i="16"/>
  <c r="K36" i="16" s="1"/>
  <c r="J37" i="16"/>
  <c r="K37" i="16" s="1"/>
  <c r="J39" i="16"/>
  <c r="K39" i="16" s="1"/>
  <c r="J40" i="16"/>
  <c r="K40" i="16" s="1"/>
  <c r="J41" i="16"/>
  <c r="J42" i="16"/>
  <c r="K42" i="16" s="1"/>
  <c r="J43" i="16"/>
  <c r="K43" i="16" s="1"/>
  <c r="J47" i="16"/>
  <c r="K47" i="16" s="1"/>
  <c r="J48" i="16"/>
  <c r="K48" i="16" s="1"/>
  <c r="J49" i="16"/>
  <c r="K49" i="16" s="1"/>
  <c r="J50" i="16"/>
  <c r="K50" i="16" s="1"/>
  <c r="J51" i="16"/>
  <c r="K51" i="16" s="1"/>
  <c r="J52" i="16"/>
  <c r="K52" i="16" s="1"/>
  <c r="J53" i="16"/>
  <c r="K53" i="16" s="1"/>
  <c r="J54" i="16"/>
  <c r="K54" i="16" s="1"/>
  <c r="J55" i="16"/>
  <c r="K55" i="16" s="1"/>
  <c r="K41" i="16"/>
  <c r="K65" i="16"/>
  <c r="J65" i="16"/>
  <c r="K64" i="16"/>
  <c r="J64" i="16"/>
  <c r="K63" i="16"/>
  <c r="J63" i="16"/>
  <c r="K62" i="16"/>
  <c r="J62" i="16"/>
  <c r="K61" i="16"/>
  <c r="J61" i="16"/>
  <c r="K60" i="16"/>
  <c r="J60" i="16"/>
  <c r="O77" i="8"/>
  <c r="AJ77" i="8"/>
  <c r="AA55" i="23" l="1"/>
  <c r="AA51" i="23"/>
  <c r="AC21" i="29"/>
  <c r="AA50" i="23"/>
  <c r="AA46" i="23"/>
  <c r="AA37" i="23"/>
  <c r="AA23" i="23"/>
  <c r="AA47" i="23"/>
  <c r="AA88" i="23"/>
  <c r="AA56" i="23"/>
  <c r="AA52" i="23"/>
  <c r="AA48" i="23"/>
  <c r="AA45" i="23"/>
  <c r="AA24" i="23"/>
  <c r="AA20" i="23"/>
  <c r="AA16" i="23"/>
  <c r="AA21" i="23"/>
  <c r="AA17" i="23"/>
  <c r="AA22" i="23"/>
  <c r="AA19" i="23"/>
  <c r="AA15" i="23"/>
  <c r="AA44" i="23"/>
  <c r="AA39" i="23"/>
  <c r="AA36" i="23"/>
  <c r="AD25" i="29"/>
  <c r="AC25" i="29"/>
  <c r="AC28" i="29"/>
  <c r="AD28" i="29"/>
  <c r="AD27" i="29"/>
  <c r="AC27" i="29"/>
  <c r="AC26" i="29"/>
  <c r="AD26" i="29"/>
  <c r="AD13" i="29"/>
  <c r="AC13" i="29"/>
  <c r="AC12" i="29"/>
  <c r="AD12" i="29"/>
  <c r="AD11" i="29"/>
  <c r="AC11" i="29"/>
  <c r="AD10" i="29"/>
  <c r="AB99" i="23"/>
  <c r="AB115" i="23"/>
  <c r="AB110" i="23"/>
  <c r="AA53" i="23"/>
  <c r="AB53" i="23"/>
  <c r="AB122" i="23"/>
  <c r="AB101" i="23"/>
  <c r="AB114" i="23"/>
  <c r="AB100" i="23"/>
  <c r="AB97" i="23"/>
  <c r="AB41" i="23"/>
  <c r="AA41" i="23"/>
  <c r="AA40" i="23"/>
  <c r="AB40" i="23"/>
  <c r="AB35" i="23"/>
  <c r="AA35" i="23"/>
  <c r="AB11" i="23"/>
  <c r="AA11" i="23"/>
  <c r="AB13" i="23"/>
  <c r="AA13" i="23"/>
  <c r="AA12" i="23"/>
  <c r="AB12" i="23"/>
  <c r="AC31" i="21"/>
  <c r="N61" i="19"/>
  <c r="Z30" i="23"/>
  <c r="L57" i="23"/>
  <c r="X57" i="23"/>
  <c r="M10" i="29"/>
  <c r="AC10" i="29" s="1"/>
  <c r="S77" i="8"/>
  <c r="AI77" i="8" s="1"/>
  <c r="P77" i="8"/>
  <c r="AB30" i="23" l="1"/>
  <c r="J33" i="40"/>
  <c r="K33" i="40"/>
  <c r="L33" i="40"/>
  <c r="M33" i="40"/>
  <c r="N33" i="40"/>
  <c r="O33" i="40"/>
  <c r="P33" i="40"/>
  <c r="Q33" i="40"/>
  <c r="S33" i="40"/>
  <c r="T33" i="40"/>
  <c r="U33" i="40"/>
  <c r="V33" i="40"/>
  <c r="W33" i="40"/>
  <c r="X11" i="32"/>
  <c r="X12" i="32"/>
  <c r="X13" i="32"/>
  <c r="Z13" i="32" s="1"/>
  <c r="J20" i="32"/>
  <c r="K20" i="32"/>
  <c r="L20" i="32"/>
  <c r="M20" i="32"/>
  <c r="N20" i="32"/>
  <c r="O20" i="32"/>
  <c r="P20" i="32"/>
  <c r="Q20" i="32"/>
  <c r="R20" i="32"/>
  <c r="S20" i="32"/>
  <c r="T20" i="32"/>
  <c r="U20" i="32"/>
  <c r="V20" i="32"/>
  <c r="W20" i="32"/>
  <c r="H19" i="32"/>
  <c r="I19" i="32" s="1"/>
  <c r="H15" i="32"/>
  <c r="I15" i="32" s="1"/>
  <c r="H16" i="32"/>
  <c r="I16" i="32"/>
  <c r="H17" i="32"/>
  <c r="I17" i="32" s="1"/>
  <c r="H18" i="32"/>
  <c r="I18" i="32" s="1"/>
  <c r="X11" i="44"/>
  <c r="X12" i="44"/>
  <c r="X13" i="44"/>
  <c r="X14" i="44"/>
  <c r="C53" i="13"/>
  <c r="C61" i="13" s="1"/>
  <c r="Y18" i="13"/>
  <c r="AA18" i="13" s="1"/>
  <c r="Y19" i="13"/>
  <c r="AA19" i="13" s="1"/>
  <c r="Y20" i="13"/>
  <c r="AA20" i="13" s="1"/>
  <c r="Y22" i="13"/>
  <c r="AA22" i="13" s="1"/>
  <c r="Y23" i="13"/>
  <c r="AA23" i="13" s="1"/>
  <c r="Y24" i="13"/>
  <c r="AA24" i="13" s="1"/>
  <c r="Y25" i="13"/>
  <c r="AA25" i="13" s="1"/>
  <c r="Y26" i="13"/>
  <c r="AA26" i="13" s="1"/>
  <c r="Y27" i="13"/>
  <c r="AA27" i="13" s="1"/>
  <c r="Y28" i="13"/>
  <c r="AA28" i="13" s="1"/>
  <c r="Y29" i="13"/>
  <c r="AA29" i="13" s="1"/>
  <c r="Y30" i="13"/>
  <c r="AA30" i="13" s="1"/>
  <c r="Y31" i="13"/>
  <c r="AA31" i="13" s="1"/>
  <c r="Y32" i="13"/>
  <c r="AA32" i="13" s="1"/>
  <c r="Y33" i="13"/>
  <c r="AA33" i="13" s="1"/>
  <c r="Y34" i="13"/>
  <c r="AA34" i="13" s="1"/>
  <c r="Y35" i="13"/>
  <c r="AA35" i="13" s="1"/>
  <c r="Y36" i="13"/>
  <c r="AA36" i="13" s="1"/>
  <c r="Y37" i="13"/>
  <c r="AA37" i="13" s="1"/>
  <c r="Y38" i="13"/>
  <c r="AA38" i="13" s="1"/>
  <c r="Y39" i="13"/>
  <c r="AA39" i="13" s="1"/>
  <c r="Y40" i="13"/>
  <c r="AA40" i="13" s="1"/>
  <c r="C35" i="10"/>
  <c r="C47" i="10" s="1"/>
  <c r="H21" i="4"/>
  <c r="I21" i="4" s="1"/>
  <c r="H24" i="4"/>
  <c r="H26" i="4"/>
  <c r="G100" i="9" l="1"/>
  <c r="G99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F100" i="9"/>
  <c r="F99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I101" i="9"/>
  <c r="J101" i="9"/>
  <c r="K101" i="9"/>
  <c r="L101" i="9"/>
  <c r="M101" i="9"/>
  <c r="N101" i="9"/>
  <c r="O101" i="9"/>
  <c r="P101" i="9"/>
  <c r="Q101" i="9"/>
  <c r="R101" i="9"/>
  <c r="S101" i="9"/>
  <c r="T101" i="9"/>
  <c r="U101" i="9"/>
  <c r="V101" i="9"/>
  <c r="I80" i="9"/>
  <c r="I102" i="9" s="1"/>
  <c r="J80" i="9"/>
  <c r="K80" i="9"/>
  <c r="L80" i="9"/>
  <c r="M80" i="9"/>
  <c r="M102" i="9" s="1"/>
  <c r="N80" i="9"/>
  <c r="O80" i="9"/>
  <c r="P80" i="9"/>
  <c r="Q80" i="9"/>
  <c r="Q102" i="9" s="1"/>
  <c r="R80" i="9"/>
  <c r="S80" i="9"/>
  <c r="T80" i="9"/>
  <c r="V80" i="9"/>
  <c r="C80" i="9"/>
  <c r="C101" i="9"/>
  <c r="G101" i="9" l="1"/>
  <c r="H86" i="9"/>
  <c r="R102" i="9"/>
  <c r="N102" i="9"/>
  <c r="T102" i="9"/>
  <c r="P102" i="9"/>
  <c r="L102" i="9"/>
  <c r="H94" i="9"/>
  <c r="X94" i="9" s="1"/>
  <c r="H99" i="9"/>
  <c r="X99" i="9" s="1"/>
  <c r="C102" i="9"/>
  <c r="S102" i="9"/>
  <c r="O102" i="9"/>
  <c r="K102" i="9"/>
  <c r="H90" i="9"/>
  <c r="E101" i="9"/>
  <c r="F83" i="9"/>
  <c r="F101" i="9" s="1"/>
  <c r="H84" i="9"/>
  <c r="X84" i="9" s="1"/>
  <c r="H88" i="9"/>
  <c r="H92" i="9"/>
  <c r="H96" i="9"/>
  <c r="X96" i="9" s="1"/>
  <c r="Y84" i="9"/>
  <c r="Y88" i="9"/>
  <c r="Y92" i="9"/>
  <c r="Y96" i="9"/>
  <c r="Y85" i="9"/>
  <c r="Y89" i="9"/>
  <c r="Y93" i="9"/>
  <c r="Y97" i="9"/>
  <c r="H83" i="9"/>
  <c r="H85" i="9"/>
  <c r="X85" i="9" s="1"/>
  <c r="H87" i="9"/>
  <c r="X87" i="9" s="1"/>
  <c r="H89" i="9"/>
  <c r="X89" i="9" s="1"/>
  <c r="H91" i="9"/>
  <c r="X91" i="9" s="1"/>
  <c r="H93" i="9"/>
  <c r="X93" i="9" s="1"/>
  <c r="H95" i="9"/>
  <c r="X95" i="9" s="1"/>
  <c r="H97" i="9"/>
  <c r="X97" i="9" s="1"/>
  <c r="H100" i="9"/>
  <c r="X100" i="9" s="1"/>
  <c r="Y86" i="9"/>
  <c r="Y90" i="9"/>
  <c r="Y94" i="9"/>
  <c r="Y99" i="9"/>
  <c r="J102" i="9"/>
  <c r="Y87" i="9"/>
  <c r="Y95" i="9"/>
  <c r="Y100" i="9"/>
  <c r="U102" i="9"/>
  <c r="W101" i="9"/>
  <c r="V102" i="9"/>
  <c r="X86" i="9"/>
  <c r="X88" i="9"/>
  <c r="X90" i="9"/>
  <c r="X92" i="9"/>
  <c r="Y83" i="9"/>
  <c r="Y91" i="9"/>
  <c r="H101" i="9" l="1"/>
  <c r="X83" i="9"/>
  <c r="X101" i="9" s="1"/>
  <c r="Y101" i="9"/>
  <c r="AB56" i="29"/>
  <c r="AD56" i="29" s="1"/>
  <c r="AB57" i="29"/>
  <c r="AD57" i="29" s="1"/>
  <c r="AB58" i="29"/>
  <c r="AD58" i="29" s="1"/>
  <c r="AB59" i="29"/>
  <c r="AD59" i="29" s="1"/>
  <c r="AB60" i="29"/>
  <c r="AD60" i="29" s="1"/>
  <c r="Z133" i="23" l="1"/>
  <c r="AB133" i="23" s="1"/>
  <c r="H144" i="26" l="1"/>
  <c r="K144" i="26"/>
  <c r="L144" i="26"/>
  <c r="L145" i="26" s="1"/>
  <c r="L146" i="26" s="1"/>
  <c r="M144" i="26"/>
  <c r="N144" i="26"/>
  <c r="N145" i="26" s="1"/>
  <c r="N146" i="26" s="1"/>
  <c r="O144" i="26"/>
  <c r="O146" i="26" s="1"/>
  <c r="P144" i="26"/>
  <c r="P145" i="26" s="1"/>
  <c r="P146" i="26" s="1"/>
  <c r="Q144" i="26"/>
  <c r="Q145" i="26" s="1"/>
  <c r="Q146" i="26" s="1"/>
  <c r="R144" i="26"/>
  <c r="R145" i="26" s="1"/>
  <c r="R146" i="26" s="1"/>
  <c r="S144" i="26"/>
  <c r="S145" i="26" s="1"/>
  <c r="S146" i="26" s="1"/>
  <c r="T144" i="26"/>
  <c r="T145" i="26" s="1"/>
  <c r="T146" i="26" s="1"/>
  <c r="U144" i="26"/>
  <c r="U145" i="26" s="1"/>
  <c r="U146" i="26" s="1"/>
  <c r="V144" i="26"/>
  <c r="V145" i="26" s="1"/>
  <c r="V146" i="26" s="1"/>
  <c r="C144" i="26"/>
  <c r="G144" i="26"/>
  <c r="C70" i="29"/>
  <c r="AB68" i="29"/>
  <c r="AD68" i="29" s="1"/>
  <c r="AB67" i="29"/>
  <c r="AD67" i="29" s="1"/>
  <c r="J70" i="29"/>
  <c r="K70" i="29"/>
  <c r="N70" i="29"/>
  <c r="O70" i="29"/>
  <c r="P70" i="29"/>
  <c r="Q70" i="29"/>
  <c r="R70" i="29"/>
  <c r="S70" i="29"/>
  <c r="T70" i="29"/>
  <c r="U70" i="29"/>
  <c r="V70" i="29"/>
  <c r="W70" i="29"/>
  <c r="X70" i="29"/>
  <c r="Y70" i="29"/>
  <c r="Z70" i="29"/>
  <c r="AA70" i="29"/>
  <c r="L68" i="29"/>
  <c r="L67" i="29"/>
  <c r="M67" i="29"/>
  <c r="L59" i="29"/>
  <c r="L58" i="29"/>
  <c r="M58" i="29"/>
  <c r="AC58" i="29" s="1"/>
  <c r="L57" i="29"/>
  <c r="L56" i="29"/>
  <c r="M56" i="29"/>
  <c r="AC56" i="29" s="1"/>
  <c r="L73" i="24"/>
  <c r="L74" i="24"/>
  <c r="L75" i="24"/>
  <c r="M63" i="21"/>
  <c r="K64" i="21"/>
  <c r="AB64" i="21"/>
  <c r="AD64" i="21" s="1"/>
  <c r="AB63" i="21"/>
  <c r="AD63" i="21" s="1"/>
  <c r="N65" i="21"/>
  <c r="O65" i="21"/>
  <c r="P65" i="21"/>
  <c r="Q65" i="21"/>
  <c r="R65" i="21"/>
  <c r="S65" i="21"/>
  <c r="T65" i="21"/>
  <c r="U65" i="21"/>
  <c r="V65" i="21"/>
  <c r="W65" i="21"/>
  <c r="X65" i="21"/>
  <c r="Y65" i="21"/>
  <c r="N62" i="20"/>
  <c r="N63" i="20"/>
  <c r="N64" i="20"/>
  <c r="N65" i="20"/>
  <c r="N66" i="20"/>
  <c r="N67" i="20"/>
  <c r="N68" i="20"/>
  <c r="O62" i="20"/>
  <c r="AE62" i="20" s="1"/>
  <c r="O63" i="20"/>
  <c r="AE63" i="20" s="1"/>
  <c r="O64" i="20"/>
  <c r="AE64" i="20" s="1"/>
  <c r="O65" i="20"/>
  <c r="AE65" i="20" s="1"/>
  <c r="O66" i="20"/>
  <c r="AE66" i="20" s="1"/>
  <c r="O67" i="20"/>
  <c r="AE67" i="20" s="1"/>
  <c r="O68" i="20"/>
  <c r="AE68" i="20" s="1"/>
  <c r="O61" i="20"/>
  <c r="N61" i="20"/>
  <c r="H53" i="18"/>
  <c r="L53" i="18"/>
  <c r="L61" i="18" s="1"/>
  <c r="L62" i="18" s="1"/>
  <c r="M53" i="18"/>
  <c r="M61" i="18" s="1"/>
  <c r="M62" i="18" s="1"/>
  <c r="N53" i="18"/>
  <c r="N61" i="18" s="1"/>
  <c r="N62" i="18" s="1"/>
  <c r="O53" i="18"/>
  <c r="O61" i="18" s="1"/>
  <c r="O62" i="18" s="1"/>
  <c r="P53" i="18"/>
  <c r="P61" i="18" s="1"/>
  <c r="P62" i="18" s="1"/>
  <c r="Q53" i="18"/>
  <c r="Q61" i="18" s="1"/>
  <c r="Q62" i="18" s="1"/>
  <c r="R53" i="18"/>
  <c r="R61" i="18" s="1"/>
  <c r="R62" i="18" s="1"/>
  <c r="S53" i="18"/>
  <c r="S61" i="18" s="1"/>
  <c r="S62" i="18" s="1"/>
  <c r="U53" i="18"/>
  <c r="U61" i="18" s="1"/>
  <c r="U62" i="18" s="1"/>
  <c r="V53" i="18"/>
  <c r="V61" i="18" s="1"/>
  <c r="V62" i="18" s="1"/>
  <c r="W53" i="18"/>
  <c r="W61" i="18" s="1"/>
  <c r="W62" i="18" s="1"/>
  <c r="X53" i="18"/>
  <c r="X61" i="18" s="1"/>
  <c r="X62" i="18" s="1"/>
  <c r="C53" i="18"/>
  <c r="C61" i="18" s="1"/>
  <c r="AA63" i="17"/>
  <c r="AC63" i="17" s="1"/>
  <c r="AA62" i="17"/>
  <c r="AC62" i="17" s="1"/>
  <c r="AA61" i="17"/>
  <c r="AA60" i="17"/>
  <c r="L62" i="17"/>
  <c r="Z65" i="16"/>
  <c r="Z64" i="16"/>
  <c r="Z63" i="16"/>
  <c r="Z62" i="16"/>
  <c r="Z61" i="16"/>
  <c r="I19" i="33"/>
  <c r="J19" i="33"/>
  <c r="K19" i="33"/>
  <c r="L19" i="33"/>
  <c r="M19" i="33"/>
  <c r="N19" i="33"/>
  <c r="O19" i="33"/>
  <c r="P19" i="33"/>
  <c r="Q19" i="33"/>
  <c r="R19" i="33"/>
  <c r="S19" i="33"/>
  <c r="T19" i="33"/>
  <c r="U19" i="33"/>
  <c r="C30" i="32"/>
  <c r="K20" i="31"/>
  <c r="K21" i="31"/>
  <c r="K19" i="31"/>
  <c r="H20" i="31"/>
  <c r="H21" i="31"/>
  <c r="H19" i="31"/>
  <c r="Z21" i="31"/>
  <c r="AB21" i="31" s="1"/>
  <c r="Z20" i="31"/>
  <c r="Z19" i="31"/>
  <c r="AB19" i="31" s="1"/>
  <c r="F22" i="31"/>
  <c r="F26" i="31" s="1"/>
  <c r="G22" i="31"/>
  <c r="G26" i="31" s="1"/>
  <c r="I22" i="31"/>
  <c r="I26" i="31" s="1"/>
  <c r="J22" i="31"/>
  <c r="J26" i="31" s="1"/>
  <c r="L22" i="31"/>
  <c r="L26" i="31" s="1"/>
  <c r="M22" i="31"/>
  <c r="M26" i="31" s="1"/>
  <c r="N22" i="31"/>
  <c r="N26" i="31" s="1"/>
  <c r="O22" i="31"/>
  <c r="O26" i="31" s="1"/>
  <c r="P22" i="31"/>
  <c r="P26" i="31" s="1"/>
  <c r="Q22" i="31"/>
  <c r="Q26" i="31" s="1"/>
  <c r="R22" i="31"/>
  <c r="R26" i="31" s="1"/>
  <c r="S22" i="31"/>
  <c r="S26" i="31" s="1"/>
  <c r="T22" i="31"/>
  <c r="T26" i="31" s="1"/>
  <c r="U22" i="31"/>
  <c r="U26" i="31" s="1"/>
  <c r="V22" i="31"/>
  <c r="V26" i="31" s="1"/>
  <c r="W22" i="31"/>
  <c r="W26" i="31" s="1"/>
  <c r="X26" i="31"/>
  <c r="Y22" i="31"/>
  <c r="Y26" i="31" s="1"/>
  <c r="J40" i="14"/>
  <c r="Z40" i="14" s="1"/>
  <c r="I43" i="14"/>
  <c r="J44" i="14"/>
  <c r="Z44" i="14" s="1"/>
  <c r="J39" i="14"/>
  <c r="Z39" i="14" s="1"/>
  <c r="H47" i="14"/>
  <c r="K47" i="14"/>
  <c r="L47" i="14"/>
  <c r="M47" i="14"/>
  <c r="N47" i="14"/>
  <c r="O47" i="14"/>
  <c r="P47" i="14"/>
  <c r="Q47" i="14"/>
  <c r="R47" i="14"/>
  <c r="T47" i="14"/>
  <c r="U47" i="14"/>
  <c r="V47" i="14"/>
  <c r="G47" i="14"/>
  <c r="J42" i="14"/>
  <c r="Z42" i="14" s="1"/>
  <c r="J43" i="14"/>
  <c r="Z43" i="14" s="1"/>
  <c r="I44" i="14"/>
  <c r="I45" i="14"/>
  <c r="I46" i="14"/>
  <c r="I39" i="14"/>
  <c r="C47" i="14"/>
  <c r="I48" i="13"/>
  <c r="I52" i="13"/>
  <c r="I46" i="13"/>
  <c r="I47" i="13"/>
  <c r="J48" i="13"/>
  <c r="I49" i="13"/>
  <c r="J50" i="13"/>
  <c r="I51" i="13"/>
  <c r="J52" i="13"/>
  <c r="J46" i="13"/>
  <c r="Y52" i="13"/>
  <c r="Y51" i="13"/>
  <c r="AA51" i="13" s="1"/>
  <c r="Y50" i="13"/>
  <c r="Y49" i="13"/>
  <c r="Y48" i="13"/>
  <c r="Y47" i="13"/>
  <c r="AA47" i="13" s="1"/>
  <c r="Y46" i="13"/>
  <c r="Y45" i="13"/>
  <c r="Y44" i="13"/>
  <c r="AA44" i="13" s="1"/>
  <c r="X23" i="12"/>
  <c r="X22" i="12"/>
  <c r="H23" i="12"/>
  <c r="I23" i="12"/>
  <c r="I22" i="12"/>
  <c r="J39" i="10"/>
  <c r="J41" i="10"/>
  <c r="J42" i="10"/>
  <c r="K38" i="10"/>
  <c r="Z43" i="10"/>
  <c r="Z42" i="10"/>
  <c r="Z41" i="10"/>
  <c r="AB41" i="10" s="1"/>
  <c r="Z40" i="10"/>
  <c r="Z39" i="10"/>
  <c r="Z38" i="10"/>
  <c r="C57" i="39"/>
  <c r="AA22" i="7"/>
  <c r="X19" i="7"/>
  <c r="X20" i="7" s="1"/>
  <c r="D19" i="7"/>
  <c r="G17" i="7"/>
  <c r="G21" i="7" s="1"/>
  <c r="H17" i="7"/>
  <c r="H21" i="7" s="1"/>
  <c r="J17" i="7"/>
  <c r="J21" i="7" s="1"/>
  <c r="K17" i="7"/>
  <c r="K21" i="7" s="1"/>
  <c r="L17" i="7"/>
  <c r="L21" i="7" s="1"/>
  <c r="M17" i="7"/>
  <c r="M21" i="7" s="1"/>
  <c r="N17" i="7"/>
  <c r="N21" i="7" s="1"/>
  <c r="O17" i="7"/>
  <c r="O21" i="7" s="1"/>
  <c r="P17" i="7"/>
  <c r="P21" i="7" s="1"/>
  <c r="Q17" i="7"/>
  <c r="Q21" i="7" s="1"/>
  <c r="R17" i="7"/>
  <c r="R21" i="7" s="1"/>
  <c r="S17" i="7"/>
  <c r="S21" i="7" s="1"/>
  <c r="T17" i="7"/>
  <c r="T21" i="7" s="1"/>
  <c r="U17" i="7"/>
  <c r="U21" i="7" s="1"/>
  <c r="V21" i="7"/>
  <c r="V22" i="7" s="1"/>
  <c r="AA13" i="5"/>
  <c r="AA14" i="5"/>
  <c r="AB14" i="5" s="1"/>
  <c r="AA30" i="5"/>
  <c r="AC30" i="5" s="1"/>
  <c r="AA29" i="5"/>
  <c r="AC29" i="5" s="1"/>
  <c r="AA28" i="5"/>
  <c r="AB28" i="5" s="1"/>
  <c r="AA24" i="5"/>
  <c r="AA23" i="5"/>
  <c r="AB23" i="5" s="1"/>
  <c r="AA22" i="5"/>
  <c r="AC22" i="5" s="1"/>
  <c r="J32" i="5"/>
  <c r="O32" i="5"/>
  <c r="S32" i="5"/>
  <c r="W32" i="5"/>
  <c r="C26" i="5"/>
  <c r="C32" i="5" s="1"/>
  <c r="G31" i="5"/>
  <c r="G32" i="5" s="1"/>
  <c r="H31" i="5"/>
  <c r="J31" i="5"/>
  <c r="K31" i="5"/>
  <c r="K32" i="5" s="1"/>
  <c r="M31" i="5"/>
  <c r="M32" i="5" s="1"/>
  <c r="N31" i="5"/>
  <c r="N32" i="5" s="1"/>
  <c r="O31" i="5"/>
  <c r="P31" i="5"/>
  <c r="P32" i="5" s="1"/>
  <c r="Q31" i="5"/>
  <c r="Q32" i="5" s="1"/>
  <c r="R31" i="5"/>
  <c r="R32" i="5" s="1"/>
  <c r="S31" i="5"/>
  <c r="T31" i="5"/>
  <c r="U31" i="5"/>
  <c r="V31" i="5"/>
  <c r="V32" i="5" s="1"/>
  <c r="W31" i="5"/>
  <c r="X31" i="5"/>
  <c r="X32" i="5" s="1"/>
  <c r="Y31" i="5"/>
  <c r="I29" i="5"/>
  <c r="I30" i="5"/>
  <c r="I25" i="5"/>
  <c r="I24" i="5"/>
  <c r="AC31" i="5" l="1"/>
  <c r="AC63" i="21"/>
  <c r="AC67" i="29"/>
  <c r="AC60" i="17"/>
  <c r="AA64" i="17"/>
  <c r="AA61" i="16"/>
  <c r="AB61" i="16"/>
  <c r="AA65" i="16"/>
  <c r="AB65" i="16"/>
  <c r="AB62" i="16"/>
  <c r="AA62" i="16"/>
  <c r="AA63" i="16"/>
  <c r="AB63" i="16"/>
  <c r="AB64" i="16"/>
  <c r="AA64" i="16"/>
  <c r="Y22" i="12"/>
  <c r="Z22" i="12"/>
  <c r="Z23" i="12"/>
  <c r="Y23" i="12"/>
  <c r="AC28" i="5"/>
  <c r="N69" i="20"/>
  <c r="AB62" i="17"/>
  <c r="AA19" i="31"/>
  <c r="AA21" i="31"/>
  <c r="AB20" i="31"/>
  <c r="AA20" i="31"/>
  <c r="AC23" i="5"/>
  <c r="X144" i="26"/>
  <c r="X145" i="26" s="1"/>
  <c r="X146" i="26" s="1"/>
  <c r="M145" i="26"/>
  <c r="M146" i="26" s="1"/>
  <c r="AC24" i="5"/>
  <c r="J52" i="18"/>
  <c r="J53" i="18" s="1"/>
  <c r="AB52" i="18"/>
  <c r="I52" i="18"/>
  <c r="I53" i="18" s="1"/>
  <c r="E19" i="7"/>
  <c r="E20" i="7" s="1"/>
  <c r="Z20" i="7"/>
  <c r="D20" i="7"/>
  <c r="W144" i="26"/>
  <c r="W145" i="26" s="1"/>
  <c r="W146" i="26" s="1"/>
  <c r="K145" i="26"/>
  <c r="K146" i="26" s="1"/>
  <c r="Y53" i="13"/>
  <c r="O69" i="20"/>
  <c r="AE61" i="20"/>
  <c r="AE69" i="20" s="1"/>
  <c r="I26" i="5"/>
  <c r="AB61" i="17"/>
  <c r="AC61" i="17"/>
  <c r="Z46" i="10"/>
  <c r="F19" i="7"/>
  <c r="F20" i="7" s="1"/>
  <c r="I19" i="7"/>
  <c r="L64" i="21"/>
  <c r="L63" i="21"/>
  <c r="K63" i="21"/>
  <c r="M64" i="21"/>
  <c r="AC64" i="21" s="1"/>
  <c r="AA31" i="5"/>
  <c r="N100" i="22"/>
  <c r="K22" i="31"/>
  <c r="K26" i="31" s="1"/>
  <c r="H22" i="31"/>
  <c r="H26" i="31" s="1"/>
  <c r="L31" i="5"/>
  <c r="I31" i="5"/>
  <c r="H32" i="5"/>
  <c r="Z44" i="13"/>
  <c r="AB29" i="5"/>
  <c r="AB39" i="10"/>
  <c r="AB43" i="10"/>
  <c r="AB40" i="10"/>
  <c r="K43" i="10"/>
  <c r="AA43" i="10" s="1"/>
  <c r="K41" i="10"/>
  <c r="AA41" i="10" s="1"/>
  <c r="K39" i="10"/>
  <c r="AA39" i="10" s="1"/>
  <c r="J43" i="10"/>
  <c r="J38" i="10"/>
  <c r="K42" i="10"/>
  <c r="AA42" i="10" s="1"/>
  <c r="K40" i="10"/>
  <c r="AA40" i="10" s="1"/>
  <c r="J40" i="10"/>
  <c r="AA46" i="13"/>
  <c r="AA50" i="13"/>
  <c r="I50" i="13"/>
  <c r="I53" i="13" s="1"/>
  <c r="J49" i="13"/>
  <c r="Z49" i="13" s="1"/>
  <c r="Y143" i="26"/>
  <c r="J143" i="26"/>
  <c r="N75" i="24"/>
  <c r="AD75" i="24" s="1"/>
  <c r="M75" i="24"/>
  <c r="K62" i="17"/>
  <c r="J46" i="14"/>
  <c r="Z46" i="14" s="1"/>
  <c r="I42" i="14"/>
  <c r="I40" i="14"/>
  <c r="J45" i="14"/>
  <c r="Z45" i="14" s="1"/>
  <c r="J41" i="14"/>
  <c r="Z41" i="14" s="1"/>
  <c r="I41" i="14"/>
  <c r="H22" i="12"/>
  <c r="I143" i="26"/>
  <c r="I144" i="26" s="1"/>
  <c r="M68" i="29"/>
  <c r="AC68" i="29" s="1"/>
  <c r="M59" i="29"/>
  <c r="AC59" i="29" s="1"/>
  <c r="M57" i="29"/>
  <c r="AC57" i="29" s="1"/>
  <c r="O100" i="22"/>
  <c r="M100" i="22"/>
  <c r="Z22" i="31"/>
  <c r="Z26" i="31" s="1"/>
  <c r="AA45" i="13"/>
  <c r="Z45" i="13"/>
  <c r="J51" i="13"/>
  <c r="Z51" i="13" s="1"/>
  <c r="J47" i="13"/>
  <c r="Z47" i="13" s="1"/>
  <c r="AA49" i="13"/>
  <c r="AA48" i="13"/>
  <c r="AA52" i="13"/>
  <c r="Z46" i="13"/>
  <c r="Z48" i="13"/>
  <c r="Z50" i="13"/>
  <c r="Z52" i="13"/>
  <c r="AA38" i="10"/>
  <c r="AB38" i="10"/>
  <c r="AB42" i="10"/>
  <c r="AB30" i="5"/>
  <c r="AB22" i="5"/>
  <c r="C130" i="23"/>
  <c r="H130" i="23" s="1"/>
  <c r="C129" i="23"/>
  <c r="H129" i="23" s="1"/>
  <c r="C128" i="23"/>
  <c r="H128" i="23" s="1"/>
  <c r="C125" i="23"/>
  <c r="H125" i="23" s="1"/>
  <c r="C124" i="23"/>
  <c r="H124" i="23" s="1"/>
  <c r="C121" i="23"/>
  <c r="H121" i="23" s="1"/>
  <c r="C118" i="23"/>
  <c r="H118" i="23" s="1"/>
  <c r="C102" i="23"/>
  <c r="H102" i="23" s="1"/>
  <c r="C96" i="23"/>
  <c r="H96" i="23" s="1"/>
  <c r="C95" i="23"/>
  <c r="H95" i="23" s="1"/>
  <c r="C94" i="23"/>
  <c r="H94" i="23" s="1"/>
  <c r="C91" i="23"/>
  <c r="Y144" i="26" l="1"/>
  <c r="AA143" i="26"/>
  <c r="AA144" i="26" s="1"/>
  <c r="I32" i="5"/>
  <c r="AE100" i="22"/>
  <c r="AC64" i="17"/>
  <c r="AB95" i="23"/>
  <c r="AB121" i="23"/>
  <c r="AB129" i="23"/>
  <c r="K129" i="23"/>
  <c r="AA129" i="23" s="1"/>
  <c r="AB96" i="23"/>
  <c r="AB130" i="23"/>
  <c r="AB124" i="23"/>
  <c r="C134" i="23"/>
  <c r="H91" i="23"/>
  <c r="AB102" i="23"/>
  <c r="AB125" i="23"/>
  <c r="AB94" i="23"/>
  <c r="AB118" i="23"/>
  <c r="AB128" i="23"/>
  <c r="K52" i="18"/>
  <c r="J126" i="23"/>
  <c r="K126" i="23" s="1"/>
  <c r="AA126" i="23" s="1"/>
  <c r="J121" i="23"/>
  <c r="J129" i="23"/>
  <c r="J131" i="23"/>
  <c r="J122" i="23"/>
  <c r="K122" i="23" s="1"/>
  <c r="AA122" i="23" s="1"/>
  <c r="J116" i="23"/>
  <c r="J112" i="23"/>
  <c r="K112" i="23" s="1"/>
  <c r="AA112" i="23" s="1"/>
  <c r="J108" i="23"/>
  <c r="J104" i="23"/>
  <c r="K104" i="23" s="1"/>
  <c r="AA104" i="23" s="1"/>
  <c r="AB46" i="10"/>
  <c r="J53" i="13"/>
  <c r="J125" i="23"/>
  <c r="K119" i="23"/>
  <c r="AA119" i="23" s="1"/>
  <c r="J119" i="23"/>
  <c r="J106" i="23"/>
  <c r="J124" i="23"/>
  <c r="K124" i="23" s="1"/>
  <c r="AA124" i="23" s="1"/>
  <c r="J130" i="23"/>
  <c r="J127" i="23"/>
  <c r="K127" i="23" s="1"/>
  <c r="AA127" i="23" s="1"/>
  <c r="J120" i="23"/>
  <c r="J115" i="23"/>
  <c r="K115" i="23" s="1"/>
  <c r="AA115" i="23" s="1"/>
  <c r="J111" i="23"/>
  <c r="K107" i="23"/>
  <c r="AA107" i="23" s="1"/>
  <c r="J107" i="23"/>
  <c r="J103" i="23"/>
  <c r="AA46" i="10"/>
  <c r="J114" i="23"/>
  <c r="K53" i="18"/>
  <c r="AA52" i="18"/>
  <c r="AA53" i="18" s="1"/>
  <c r="J144" i="26"/>
  <c r="Z143" i="26"/>
  <c r="Z144" i="26" s="1"/>
  <c r="K46" i="10"/>
  <c r="J133" i="23"/>
  <c r="K133" i="23" s="1"/>
  <c r="AA133" i="23" s="1"/>
  <c r="J110" i="23"/>
  <c r="K118" i="23"/>
  <c r="AA118" i="23" s="1"/>
  <c r="J118" i="23"/>
  <c r="J128" i="23"/>
  <c r="J132" i="23"/>
  <c r="K132" i="23" s="1"/>
  <c r="AA132" i="23" s="1"/>
  <c r="J123" i="23"/>
  <c r="J117" i="23"/>
  <c r="K117" i="23" s="1"/>
  <c r="AA117" i="23" s="1"/>
  <c r="J113" i="23"/>
  <c r="J109" i="23"/>
  <c r="K109" i="23" s="1"/>
  <c r="AA109" i="23" s="1"/>
  <c r="J105" i="23"/>
  <c r="Z53" i="13"/>
  <c r="AA53" i="13"/>
  <c r="J46" i="10"/>
  <c r="I20" i="7"/>
  <c r="Y19" i="7"/>
  <c r="Y20" i="7" s="1"/>
  <c r="AB31" i="5"/>
  <c r="L32" i="5"/>
  <c r="AA22" i="31"/>
  <c r="AA26" i="31" s="1"/>
  <c r="J47" i="14"/>
  <c r="AB24" i="5"/>
  <c r="I47" i="14"/>
  <c r="AB91" i="23" l="1"/>
  <c r="I134" i="23"/>
  <c r="H134" i="23"/>
  <c r="K105" i="23"/>
  <c r="AA105" i="23" s="1"/>
  <c r="K123" i="23"/>
  <c r="AA123" i="23" s="1"/>
  <c r="K110" i="23"/>
  <c r="AA110" i="23" s="1"/>
  <c r="K114" i="23"/>
  <c r="AA114" i="23" s="1"/>
  <c r="K111" i="23"/>
  <c r="AA111" i="23" s="1"/>
  <c r="K130" i="23"/>
  <c r="AA130" i="23" s="1"/>
  <c r="K125" i="23"/>
  <c r="AA125" i="23" s="1"/>
  <c r="K116" i="23"/>
  <c r="AA116" i="23" s="1"/>
  <c r="K121" i="23"/>
  <c r="AA121" i="23" s="1"/>
  <c r="K113" i="23"/>
  <c r="AA113" i="23" s="1"/>
  <c r="K128" i="23"/>
  <c r="AA128" i="23" s="1"/>
  <c r="K103" i="23"/>
  <c r="AA103" i="23" s="1"/>
  <c r="K120" i="23"/>
  <c r="AA120" i="23" s="1"/>
  <c r="K106" i="23"/>
  <c r="AA106" i="23" s="1"/>
  <c r="K108" i="23"/>
  <c r="AA108" i="23" s="1"/>
  <c r="K131" i="23"/>
  <c r="AA131" i="23" s="1"/>
  <c r="N32" i="21"/>
  <c r="D19" i="44"/>
  <c r="D18" i="44"/>
  <c r="V15" i="44"/>
  <c r="V22" i="44" s="1"/>
  <c r="U15" i="44"/>
  <c r="U22" i="44" s="1"/>
  <c r="T15" i="44"/>
  <c r="T22" i="44" s="1"/>
  <c r="S15" i="44"/>
  <c r="S22" i="44" s="1"/>
  <c r="R15" i="44"/>
  <c r="R22" i="44" s="1"/>
  <c r="Q15" i="44"/>
  <c r="Q22" i="44" s="1"/>
  <c r="P15" i="44"/>
  <c r="P22" i="44" s="1"/>
  <c r="O15" i="44"/>
  <c r="O22" i="44" s="1"/>
  <c r="N15" i="44"/>
  <c r="N22" i="44" s="1"/>
  <c r="M15" i="44"/>
  <c r="M22" i="44" s="1"/>
  <c r="L15" i="44"/>
  <c r="L22" i="44" s="1"/>
  <c r="K15" i="44"/>
  <c r="K22" i="44" s="1"/>
  <c r="J15" i="44"/>
  <c r="J22" i="44" s="1"/>
  <c r="H15" i="44"/>
  <c r="H22" i="44" s="1"/>
  <c r="G15" i="44"/>
  <c r="G22" i="44" s="1"/>
  <c r="D14" i="44"/>
  <c r="D13" i="44"/>
  <c r="D11" i="44"/>
  <c r="D12" i="44"/>
  <c r="X10" i="44"/>
  <c r="X9" i="44"/>
  <c r="D9" i="44"/>
  <c r="X8" i="44"/>
  <c r="D8" i="44"/>
  <c r="AB65" i="39"/>
  <c r="AB64" i="39"/>
  <c r="AB63" i="39"/>
  <c r="AB62" i="39"/>
  <c r="AB61" i="39"/>
  <c r="AB60" i="39"/>
  <c r="AB59" i="39"/>
  <c r="AB56" i="39"/>
  <c r="AB55" i="39"/>
  <c r="AD55" i="39" s="1"/>
  <c r="AB54" i="39"/>
  <c r="AD54" i="39" s="1"/>
  <c r="AB53" i="39"/>
  <c r="AD53" i="39" s="1"/>
  <c r="AB52" i="39"/>
  <c r="AD52" i="39" s="1"/>
  <c r="AB51" i="39"/>
  <c r="AD51" i="39" s="1"/>
  <c r="AB50" i="39"/>
  <c r="AD50" i="39" s="1"/>
  <c r="AB49" i="39"/>
  <c r="AD49" i="39" s="1"/>
  <c r="AB48" i="39"/>
  <c r="AD48" i="39" s="1"/>
  <c r="AB47" i="39"/>
  <c r="AB46" i="39"/>
  <c r="AD46" i="39" s="1"/>
  <c r="J50" i="39"/>
  <c r="J51" i="39"/>
  <c r="M56" i="39"/>
  <c r="AB57" i="39" l="1"/>
  <c r="AD62" i="39"/>
  <c r="AC62" i="39"/>
  <c r="AC61" i="39"/>
  <c r="AD61" i="39"/>
  <c r="AD63" i="39"/>
  <c r="AC63" i="39"/>
  <c r="AD60" i="39"/>
  <c r="AC60" i="39"/>
  <c r="AD64" i="39"/>
  <c r="AC64" i="39"/>
  <c r="AD47" i="39"/>
  <c r="AD56" i="39"/>
  <c r="AC56" i="39"/>
  <c r="AC65" i="39"/>
  <c r="AD65" i="39"/>
  <c r="Z13" i="44"/>
  <c r="Z12" i="44"/>
  <c r="F18" i="44"/>
  <c r="D20" i="44"/>
  <c r="D21" i="44" s="1"/>
  <c r="F11" i="44"/>
  <c r="I11" i="44" s="1"/>
  <c r="Y11" i="44" s="1"/>
  <c r="Z11" i="44"/>
  <c r="Z19" i="44"/>
  <c r="E19" i="44"/>
  <c r="E20" i="44" s="1"/>
  <c r="E21" i="44" s="1"/>
  <c r="F8" i="44"/>
  <c r="I8" i="44" s="1"/>
  <c r="Y8" i="44" s="1"/>
  <c r="F14" i="44"/>
  <c r="I14" i="44" s="1"/>
  <c r="Y14" i="44" s="1"/>
  <c r="Z14" i="44"/>
  <c r="J55" i="39"/>
  <c r="J53" i="39"/>
  <c r="M48" i="39"/>
  <c r="M52" i="39"/>
  <c r="J48" i="39"/>
  <c r="M55" i="39"/>
  <c r="M53" i="39"/>
  <c r="M51" i="39"/>
  <c r="M50" i="39"/>
  <c r="M54" i="39"/>
  <c r="M49" i="39"/>
  <c r="J56" i="39"/>
  <c r="J54" i="39"/>
  <c r="J52" i="39"/>
  <c r="J49" i="39"/>
  <c r="C15" i="44"/>
  <c r="C22" i="44" s="1"/>
  <c r="Z8" i="44"/>
  <c r="I19" i="44"/>
  <c r="Y19" i="44" s="1"/>
  <c r="Z9" i="44"/>
  <c r="D10" i="44"/>
  <c r="F12" i="44"/>
  <c r="I12" i="44" s="1"/>
  <c r="Y12" i="44" s="1"/>
  <c r="W15" i="44"/>
  <c r="W22" i="44" s="1"/>
  <c r="F9" i="44"/>
  <c r="X15" i="44"/>
  <c r="X22" i="44" s="1"/>
  <c r="F13" i="44"/>
  <c r="I13" i="44" s="1"/>
  <c r="Y13" i="44" s="1"/>
  <c r="I18" i="44"/>
  <c r="F19" i="44"/>
  <c r="Z18" i="44"/>
  <c r="AD57" i="39" l="1"/>
  <c r="Y18" i="44"/>
  <c r="Y20" i="44" s="1"/>
  <c r="Y21" i="44" s="1"/>
  <c r="I20" i="44"/>
  <c r="I21" i="44" s="1"/>
  <c r="E22" i="44"/>
  <c r="Z20" i="44"/>
  <c r="Z21" i="44" s="1"/>
  <c r="E15" i="44"/>
  <c r="F20" i="44"/>
  <c r="F21" i="44" s="1"/>
  <c r="F10" i="44"/>
  <c r="I10" i="44" s="1"/>
  <c r="Y10" i="44" s="1"/>
  <c r="Z10" i="44"/>
  <c r="Z15" i="44" s="1"/>
  <c r="Z22" i="44" s="1"/>
  <c r="D15" i="44"/>
  <c r="D22" i="44" s="1"/>
  <c r="I9" i="44"/>
  <c r="Y9" i="44" l="1"/>
  <c r="Y15" i="44" s="1"/>
  <c r="Y22" i="44" s="1"/>
  <c r="I15" i="44"/>
  <c r="I22" i="44" s="1"/>
  <c r="F15" i="44"/>
  <c r="F22" i="44" s="1"/>
  <c r="X18" i="4" l="1"/>
  <c r="X19" i="4"/>
  <c r="X20" i="4"/>
  <c r="X21" i="4"/>
  <c r="Z21" i="4" s="1"/>
  <c r="X22" i="4"/>
  <c r="X23" i="4"/>
  <c r="Y21" i="4" l="1"/>
  <c r="N101" i="2"/>
  <c r="AD101" i="2" s="1"/>
  <c r="M102" i="2"/>
  <c r="M103" i="2"/>
  <c r="M104" i="2"/>
  <c r="N105" i="2"/>
  <c r="AD105" i="2" s="1"/>
  <c r="M106" i="2"/>
  <c r="M107" i="2"/>
  <c r="M108" i="2"/>
  <c r="N109" i="2"/>
  <c r="AD109" i="2" s="1"/>
  <c r="M110" i="2"/>
  <c r="M111" i="2"/>
  <c r="M112" i="2"/>
  <c r="N113" i="2"/>
  <c r="AD113" i="2" s="1"/>
  <c r="M114" i="2"/>
  <c r="M115" i="2"/>
  <c r="M116" i="2"/>
  <c r="N117" i="2"/>
  <c r="AD117" i="2" s="1"/>
  <c r="M118" i="2"/>
  <c r="M119" i="2"/>
  <c r="M120" i="2"/>
  <c r="N121" i="2"/>
  <c r="AD121" i="2" s="1"/>
  <c r="M122" i="2"/>
  <c r="M100" i="2" l="1"/>
  <c r="N100" i="2"/>
  <c r="AD100" i="2" s="1"/>
  <c r="M101" i="2"/>
  <c r="M105" i="2"/>
  <c r="M109" i="2"/>
  <c r="M113" i="2"/>
  <c r="M117" i="2"/>
  <c r="M121" i="2"/>
  <c r="N102" i="2"/>
  <c r="AD102" i="2" s="1"/>
  <c r="N106" i="2"/>
  <c r="AD106" i="2" s="1"/>
  <c r="N110" i="2"/>
  <c r="AD110" i="2" s="1"/>
  <c r="N114" i="2"/>
  <c r="AD114" i="2" s="1"/>
  <c r="N118" i="2"/>
  <c r="AD118" i="2" s="1"/>
  <c r="N122" i="2"/>
  <c r="AD122" i="2" s="1"/>
  <c r="N103" i="2"/>
  <c r="AD103" i="2" s="1"/>
  <c r="N107" i="2"/>
  <c r="AD107" i="2" s="1"/>
  <c r="N111" i="2"/>
  <c r="AD111" i="2" s="1"/>
  <c r="N115" i="2"/>
  <c r="AD115" i="2" s="1"/>
  <c r="N119" i="2"/>
  <c r="AD119" i="2" s="1"/>
  <c r="N104" i="2"/>
  <c r="AD104" i="2" s="1"/>
  <c r="N108" i="2"/>
  <c r="AD108" i="2" s="1"/>
  <c r="N112" i="2"/>
  <c r="AD112" i="2" s="1"/>
  <c r="N116" i="2"/>
  <c r="AD116" i="2" s="1"/>
  <c r="N120" i="2"/>
  <c r="AD120" i="2" s="1"/>
  <c r="AA25" i="37" l="1"/>
  <c r="AA26" i="37"/>
  <c r="AA28" i="37"/>
  <c r="AA30" i="37"/>
  <c r="AA31" i="37"/>
  <c r="AA34" i="37"/>
  <c r="H19" i="37" l="1"/>
  <c r="AA19" i="37"/>
  <c r="H11" i="37"/>
  <c r="AA11" i="37"/>
  <c r="H24" i="37"/>
  <c r="AA24" i="37"/>
  <c r="H18" i="37"/>
  <c r="AA18" i="37"/>
  <c r="H32" i="37"/>
  <c r="AA32" i="37"/>
  <c r="H27" i="37"/>
  <c r="AA27" i="37"/>
  <c r="H21" i="37"/>
  <c r="AA21" i="37"/>
  <c r="H14" i="37"/>
  <c r="AA14" i="37"/>
  <c r="H20" i="37"/>
  <c r="AA20" i="37"/>
  <c r="H12" i="37"/>
  <c r="AA12" i="37"/>
  <c r="J34" i="37"/>
  <c r="Z34" i="37" s="1"/>
  <c r="H34" i="37"/>
  <c r="J28" i="37"/>
  <c r="Z28" i="37" s="1"/>
  <c r="H28" i="37"/>
  <c r="J31" i="37"/>
  <c r="Z31" i="37" s="1"/>
  <c r="H31" i="37"/>
  <c r="J26" i="37"/>
  <c r="Z26" i="37" s="1"/>
  <c r="H26" i="37"/>
  <c r="I32" i="37"/>
  <c r="J30" i="37"/>
  <c r="Z30" i="37" s="1"/>
  <c r="H30" i="37"/>
  <c r="J32" i="37"/>
  <c r="Z32" i="37" s="1"/>
  <c r="J25" i="37"/>
  <c r="Z25" i="37" s="1"/>
  <c r="H25" i="37"/>
  <c r="I27" i="37"/>
  <c r="J27" i="37"/>
  <c r="Z27" i="37" s="1"/>
  <c r="I25" i="37"/>
  <c r="I30" i="37"/>
  <c r="I26" i="37"/>
  <c r="I28" i="37"/>
  <c r="I31" i="37"/>
  <c r="I34" i="37"/>
  <c r="AA35" i="37" l="1"/>
  <c r="W31" i="36"/>
  <c r="Y31" i="36" s="1"/>
  <c r="Y36" i="36"/>
  <c r="Y35" i="36"/>
  <c r="Y34" i="36"/>
  <c r="H36" i="36"/>
  <c r="G36" i="36"/>
  <c r="H35" i="36"/>
  <c r="G35" i="36"/>
  <c r="H34" i="36"/>
  <c r="G34" i="36"/>
  <c r="F13" i="36"/>
  <c r="I13" i="36"/>
  <c r="J13" i="36"/>
  <c r="K13" i="36"/>
  <c r="L13" i="36"/>
  <c r="M13" i="36"/>
  <c r="N13" i="36"/>
  <c r="O13" i="36"/>
  <c r="P13" i="36"/>
  <c r="Q13" i="36"/>
  <c r="R13" i="36"/>
  <c r="S13" i="36"/>
  <c r="T13" i="36"/>
  <c r="F9" i="36"/>
  <c r="I9" i="36"/>
  <c r="J9" i="36"/>
  <c r="J50" i="36" s="1"/>
  <c r="K9" i="36"/>
  <c r="L9" i="36"/>
  <c r="M9" i="36"/>
  <c r="N9" i="36"/>
  <c r="N50" i="36" s="1"/>
  <c r="O9" i="36"/>
  <c r="P9" i="36"/>
  <c r="Q9" i="36"/>
  <c r="R9" i="36"/>
  <c r="R50" i="36" s="1"/>
  <c r="S9" i="36"/>
  <c r="T9" i="36"/>
  <c r="C9" i="36"/>
  <c r="C13" i="36"/>
  <c r="H47" i="36"/>
  <c r="H46" i="36"/>
  <c r="H45" i="36"/>
  <c r="H42" i="36"/>
  <c r="H41" i="36"/>
  <c r="G40" i="36"/>
  <c r="H38" i="36"/>
  <c r="H37" i="36"/>
  <c r="H33" i="36"/>
  <c r="G28" i="36"/>
  <c r="H27" i="36"/>
  <c r="G26" i="36"/>
  <c r="H25" i="36"/>
  <c r="G24" i="36"/>
  <c r="H22" i="36"/>
  <c r="G18" i="36"/>
  <c r="H17" i="36"/>
  <c r="H16" i="36"/>
  <c r="U50" i="36" l="1"/>
  <c r="Q50" i="36"/>
  <c r="M50" i="36"/>
  <c r="I50" i="36"/>
  <c r="C50" i="36"/>
  <c r="S50" i="36"/>
  <c r="O50" i="36"/>
  <c r="K50" i="36"/>
  <c r="T50" i="36"/>
  <c r="P50" i="36"/>
  <c r="L50" i="36"/>
  <c r="F50" i="36"/>
  <c r="H8" i="36"/>
  <c r="H9" i="36" s="1"/>
  <c r="Y8" i="36"/>
  <c r="Y9" i="36" s="1"/>
  <c r="E13" i="36"/>
  <c r="Y12" i="36"/>
  <c r="Y13" i="36" s="1"/>
  <c r="Y32" i="36"/>
  <c r="Y43" i="36"/>
  <c r="Y44" i="36"/>
  <c r="H24" i="36"/>
  <c r="X25" i="36"/>
  <c r="X27" i="36"/>
  <c r="G12" i="36"/>
  <c r="G13" i="36" s="1"/>
  <c r="V9" i="36"/>
  <c r="V50" i="36" s="1"/>
  <c r="Y38" i="36"/>
  <c r="X47" i="36"/>
  <c r="X36" i="36"/>
  <c r="H18" i="36"/>
  <c r="H19" i="36" s="1"/>
  <c r="G38" i="36"/>
  <c r="G27" i="36"/>
  <c r="H12" i="36"/>
  <c r="H13" i="36" s="1"/>
  <c r="G25" i="36"/>
  <c r="G33" i="36"/>
  <c r="G17" i="36"/>
  <c r="H26" i="36"/>
  <c r="X26" i="36" s="1"/>
  <c r="Y18" i="36"/>
  <c r="Y33" i="36"/>
  <c r="X41" i="36"/>
  <c r="H28" i="36"/>
  <c r="X28" i="36" s="1"/>
  <c r="Y17" i="36"/>
  <c r="G46" i="36"/>
  <c r="X46" i="36"/>
  <c r="X45" i="36"/>
  <c r="X42" i="36"/>
  <c r="X37" i="36"/>
  <c r="Y37" i="36"/>
  <c r="Y41" i="36"/>
  <c r="Y45" i="36"/>
  <c r="X22" i="36"/>
  <c r="W9" i="36"/>
  <c r="G22" i="36"/>
  <c r="Y22" i="36"/>
  <c r="Y25" i="36"/>
  <c r="Y27" i="36"/>
  <c r="H40" i="36"/>
  <c r="X40" i="36" s="1"/>
  <c r="H43" i="36"/>
  <c r="X43" i="36" s="1"/>
  <c r="H44" i="36"/>
  <c r="X44" i="36" s="1"/>
  <c r="E9" i="36"/>
  <c r="E50" i="36" s="1"/>
  <c r="Y26" i="36"/>
  <c r="Y28" i="36"/>
  <c r="G16" i="36"/>
  <c r="G19" i="36" s="1"/>
  <c r="G32" i="36"/>
  <c r="G37" i="36"/>
  <c r="G39" i="36"/>
  <c r="G41" i="36"/>
  <c r="G42" i="36"/>
  <c r="G45" i="36"/>
  <c r="G47" i="36"/>
  <c r="Y40" i="36"/>
  <c r="H32" i="36"/>
  <c r="X39" i="36"/>
  <c r="G43" i="36"/>
  <c r="G44" i="36"/>
  <c r="X31" i="36"/>
  <c r="X35" i="36"/>
  <c r="X33" i="36"/>
  <c r="X34" i="36"/>
  <c r="X38" i="36"/>
  <c r="Y39" i="36"/>
  <c r="Y42" i="36"/>
  <c r="Y47" i="36"/>
  <c r="Y46" i="36"/>
  <c r="X17" i="36"/>
  <c r="W13" i="36"/>
  <c r="G8" i="36"/>
  <c r="G9" i="36" s="1"/>
  <c r="G29" i="36" l="1"/>
  <c r="H29" i="36"/>
  <c r="W50" i="36"/>
  <c r="Y49" i="36"/>
  <c r="H49" i="36"/>
  <c r="H50" i="36" s="1"/>
  <c r="G49" i="36"/>
  <c r="G50" i="36" s="1"/>
  <c r="X9" i="36"/>
  <c r="X18" i="36"/>
  <c r="X32" i="36"/>
  <c r="X49" i="36" s="1"/>
  <c r="X16" i="36"/>
  <c r="X12" i="36"/>
  <c r="X13" i="36" s="1"/>
  <c r="X24" i="36"/>
  <c r="X29" i="36" s="1"/>
  <c r="Y16" i="36"/>
  <c r="Y19" i="36" s="1"/>
  <c r="Y24" i="36"/>
  <c r="Y29" i="36" s="1"/>
  <c r="C136" i="26"/>
  <c r="C109" i="26"/>
  <c r="C107" i="26"/>
  <c r="C27" i="26"/>
  <c r="C13" i="26"/>
  <c r="C9" i="26"/>
  <c r="X19" i="36" l="1"/>
  <c r="Y50" i="36"/>
  <c r="X50" i="36"/>
  <c r="C141" i="26"/>
  <c r="C145" i="26" s="1"/>
  <c r="C146" i="26" s="1"/>
  <c r="G141" i="26"/>
  <c r="G145" i="26" s="1"/>
  <c r="G146" i="26" s="1"/>
  <c r="Y9" i="26"/>
  <c r="I122" i="26"/>
  <c r="J122" i="26" s="1"/>
  <c r="Z122" i="26" s="1"/>
  <c r="I118" i="26"/>
  <c r="J118" i="26" s="1"/>
  <c r="Z118" i="26" s="1"/>
  <c r="I114" i="26"/>
  <c r="J114" i="26" s="1"/>
  <c r="Z114" i="26" s="1"/>
  <c r="I110" i="26"/>
  <c r="J110" i="26" s="1"/>
  <c r="Z110" i="26" s="1"/>
  <c r="I104" i="26"/>
  <c r="J104" i="26" s="1"/>
  <c r="Z104" i="26" s="1"/>
  <c r="I100" i="26"/>
  <c r="J100" i="26" s="1"/>
  <c r="Z100" i="26" s="1"/>
  <c r="I96" i="26"/>
  <c r="J96" i="26" s="1"/>
  <c r="Z96" i="26" s="1"/>
  <c r="I90" i="26"/>
  <c r="J90" i="26" s="1"/>
  <c r="Z90" i="26" s="1"/>
  <c r="I86" i="26"/>
  <c r="J86" i="26" s="1"/>
  <c r="Z86" i="26" s="1"/>
  <c r="I82" i="26"/>
  <c r="J82" i="26" s="1"/>
  <c r="Z82" i="26" s="1"/>
  <c r="I78" i="26"/>
  <c r="J78" i="26" s="1"/>
  <c r="Z78" i="26" s="1"/>
  <c r="I74" i="26"/>
  <c r="J74" i="26" s="1"/>
  <c r="Z74" i="26" s="1"/>
  <c r="I70" i="26"/>
  <c r="J70" i="26" s="1"/>
  <c r="Z70" i="26" s="1"/>
  <c r="I66" i="26"/>
  <c r="J66" i="26" s="1"/>
  <c r="Z66" i="26" s="1"/>
  <c r="I62" i="26"/>
  <c r="J62" i="26" s="1"/>
  <c r="Z62" i="26" s="1"/>
  <c r="I59" i="26"/>
  <c r="J59" i="26" s="1"/>
  <c r="Z59" i="26" s="1"/>
  <c r="I55" i="26"/>
  <c r="J55" i="26" s="1"/>
  <c r="Z55" i="26" s="1"/>
  <c r="I50" i="26"/>
  <c r="J50" i="26" s="1"/>
  <c r="Z50" i="26" s="1"/>
  <c r="I46" i="26"/>
  <c r="J46" i="26" s="1"/>
  <c r="Z46" i="26" s="1"/>
  <c r="I42" i="26"/>
  <c r="J42" i="26" s="1"/>
  <c r="Z42" i="26" s="1"/>
  <c r="I38" i="26"/>
  <c r="J38" i="26" s="1"/>
  <c r="Z38" i="26" s="1"/>
  <c r="I36" i="26"/>
  <c r="J36" i="26" s="1"/>
  <c r="Z36" i="26" s="1"/>
  <c r="I32" i="26"/>
  <c r="J32" i="26" s="1"/>
  <c r="Z32" i="26" s="1"/>
  <c r="I28" i="26"/>
  <c r="J28" i="26" s="1"/>
  <c r="Z28" i="26" s="1"/>
  <c r="I23" i="26"/>
  <c r="J23" i="26" s="1"/>
  <c r="Z23" i="26" s="1"/>
  <c r="I19" i="26"/>
  <c r="J19" i="26" s="1"/>
  <c r="Z19" i="26" s="1"/>
  <c r="I15" i="26"/>
  <c r="J15" i="26" s="1"/>
  <c r="Z15" i="26" s="1"/>
  <c r="I139" i="26"/>
  <c r="J139" i="26" s="1"/>
  <c r="Z139" i="26" s="1"/>
  <c r="I132" i="26"/>
  <c r="J132" i="26" s="1"/>
  <c r="Z132" i="26" s="1"/>
  <c r="I128" i="26"/>
  <c r="J128" i="26" s="1"/>
  <c r="Z128" i="26" s="1"/>
  <c r="I125" i="26"/>
  <c r="J125" i="26" s="1"/>
  <c r="Z125" i="26" s="1"/>
  <c r="I121" i="26"/>
  <c r="J121" i="26" s="1"/>
  <c r="Z121" i="26" s="1"/>
  <c r="I117" i="26"/>
  <c r="J117" i="26" s="1"/>
  <c r="Z117" i="26" s="1"/>
  <c r="I113" i="26"/>
  <c r="J113" i="26" s="1"/>
  <c r="Z113" i="26" s="1"/>
  <c r="I109" i="26"/>
  <c r="J109" i="26" s="1"/>
  <c r="Z109" i="26" s="1"/>
  <c r="I105" i="26"/>
  <c r="J105" i="26" s="1"/>
  <c r="Z105" i="26" s="1"/>
  <c r="I101" i="26"/>
  <c r="J101" i="26" s="1"/>
  <c r="Z101" i="26" s="1"/>
  <c r="I97" i="26"/>
  <c r="J97" i="26" s="1"/>
  <c r="Z97" i="26" s="1"/>
  <c r="I94" i="26"/>
  <c r="J94" i="26" s="1"/>
  <c r="Z94" i="26" s="1"/>
  <c r="I91" i="26"/>
  <c r="J91" i="26" s="1"/>
  <c r="Z91" i="26" s="1"/>
  <c r="I108" i="26"/>
  <c r="J108" i="26" s="1"/>
  <c r="Z108" i="26" s="1"/>
  <c r="I85" i="26"/>
  <c r="J85" i="26" s="1"/>
  <c r="Z85" i="26" s="1"/>
  <c r="I77" i="26"/>
  <c r="J77" i="26" s="1"/>
  <c r="Z77" i="26" s="1"/>
  <c r="I73" i="26"/>
  <c r="J73" i="26" s="1"/>
  <c r="Z73" i="26" s="1"/>
  <c r="I69" i="26"/>
  <c r="J69" i="26" s="1"/>
  <c r="Z69" i="26" s="1"/>
  <c r="I65" i="26"/>
  <c r="J65" i="26" s="1"/>
  <c r="Z65" i="26" s="1"/>
  <c r="I61" i="26"/>
  <c r="J61" i="26" s="1"/>
  <c r="Z61" i="26" s="1"/>
  <c r="I58" i="26"/>
  <c r="J58" i="26" s="1"/>
  <c r="Z58" i="26" s="1"/>
  <c r="I54" i="26"/>
  <c r="J54" i="26" s="1"/>
  <c r="Z54" i="26" s="1"/>
  <c r="I53" i="26"/>
  <c r="J53" i="26" s="1"/>
  <c r="Z53" i="26" s="1"/>
  <c r="I49" i="26"/>
  <c r="J49" i="26" s="1"/>
  <c r="Z49" i="26" s="1"/>
  <c r="I45" i="26"/>
  <c r="J45" i="26" s="1"/>
  <c r="Z45" i="26" s="1"/>
  <c r="I41" i="26"/>
  <c r="J41" i="26" s="1"/>
  <c r="Z41" i="26" s="1"/>
  <c r="I35" i="26"/>
  <c r="J35" i="26" s="1"/>
  <c r="Z35" i="26" s="1"/>
  <c r="I31" i="26"/>
  <c r="J31" i="26" s="1"/>
  <c r="Z31" i="26" s="1"/>
  <c r="I26" i="26"/>
  <c r="J26" i="26" s="1"/>
  <c r="Z26" i="26" s="1"/>
  <c r="I22" i="26"/>
  <c r="J22" i="26" s="1"/>
  <c r="Z22" i="26" s="1"/>
  <c r="I18" i="26"/>
  <c r="J18" i="26" s="1"/>
  <c r="Z18" i="26" s="1"/>
  <c r="I14" i="26"/>
  <c r="J14" i="26" s="1"/>
  <c r="Z14" i="26" s="1"/>
  <c r="I138" i="26"/>
  <c r="J138" i="26" s="1"/>
  <c r="Z138" i="26" s="1"/>
  <c r="I130" i="26"/>
  <c r="J130" i="26" s="1"/>
  <c r="Z130" i="26" s="1"/>
  <c r="I127" i="26"/>
  <c r="J127" i="26" s="1"/>
  <c r="Z127" i="26" s="1"/>
  <c r="I13" i="26"/>
  <c r="J13" i="26" s="1"/>
  <c r="Z13" i="26" s="1"/>
  <c r="I81" i="26"/>
  <c r="J81" i="26" s="1"/>
  <c r="Z81" i="26" s="1"/>
  <c r="I27" i="26"/>
  <c r="J27" i="26" s="1"/>
  <c r="Z27" i="26" s="1"/>
  <c r="I124" i="26"/>
  <c r="J124" i="26" s="1"/>
  <c r="Z124" i="26" s="1"/>
  <c r="I120" i="26"/>
  <c r="J120" i="26" s="1"/>
  <c r="Z120" i="26" s="1"/>
  <c r="I116" i="26"/>
  <c r="J116" i="26" s="1"/>
  <c r="Z116" i="26" s="1"/>
  <c r="I112" i="26"/>
  <c r="J112" i="26" s="1"/>
  <c r="Z112" i="26" s="1"/>
  <c r="I106" i="26"/>
  <c r="J106" i="26" s="1"/>
  <c r="Z106" i="26" s="1"/>
  <c r="I102" i="26"/>
  <c r="J102" i="26" s="1"/>
  <c r="Z102" i="26" s="1"/>
  <c r="I98" i="26"/>
  <c r="J98" i="26" s="1"/>
  <c r="Z98" i="26" s="1"/>
  <c r="I95" i="26"/>
  <c r="J95" i="26" s="1"/>
  <c r="Z95" i="26" s="1"/>
  <c r="I140" i="26"/>
  <c r="J140" i="26" s="1"/>
  <c r="Z140" i="26" s="1"/>
  <c r="I136" i="26"/>
  <c r="J136" i="26" s="1"/>
  <c r="Z136" i="26" s="1"/>
  <c r="I131" i="26"/>
  <c r="J131" i="26" s="1"/>
  <c r="Z131" i="26" s="1"/>
  <c r="I129" i="26"/>
  <c r="J129" i="26" s="1"/>
  <c r="Z129" i="26" s="1"/>
  <c r="I123" i="26"/>
  <c r="J123" i="26" s="1"/>
  <c r="Z123" i="26" s="1"/>
  <c r="I119" i="26"/>
  <c r="J119" i="26" s="1"/>
  <c r="Z119" i="26" s="1"/>
  <c r="I115" i="26"/>
  <c r="J115" i="26" s="1"/>
  <c r="Z115" i="26" s="1"/>
  <c r="I111" i="26"/>
  <c r="J111" i="26" s="1"/>
  <c r="Z111" i="26" s="1"/>
  <c r="I107" i="26"/>
  <c r="J107" i="26" s="1"/>
  <c r="Z107" i="26" s="1"/>
  <c r="I103" i="26"/>
  <c r="J103" i="26" s="1"/>
  <c r="Z103" i="26" s="1"/>
  <c r="I99" i="26"/>
  <c r="J99" i="26" s="1"/>
  <c r="Z99" i="26" s="1"/>
  <c r="I93" i="26"/>
  <c r="J93" i="26" s="1"/>
  <c r="Z93" i="26" s="1"/>
  <c r="I89" i="26"/>
  <c r="J89" i="26" s="1"/>
  <c r="Z89" i="26" s="1"/>
  <c r="I87" i="26"/>
  <c r="J87" i="26" s="1"/>
  <c r="Z87" i="26" s="1"/>
  <c r="I83" i="26"/>
  <c r="J83" i="26" s="1"/>
  <c r="Z83" i="26" s="1"/>
  <c r="I79" i="26"/>
  <c r="J79" i="26" s="1"/>
  <c r="Z79" i="26" s="1"/>
  <c r="I75" i="26"/>
  <c r="J75" i="26" s="1"/>
  <c r="Z75" i="26" s="1"/>
  <c r="I71" i="26"/>
  <c r="J71" i="26" s="1"/>
  <c r="Z71" i="26" s="1"/>
  <c r="I67" i="26"/>
  <c r="J67" i="26" s="1"/>
  <c r="Z67" i="26" s="1"/>
  <c r="I63" i="26"/>
  <c r="J63" i="26" s="1"/>
  <c r="Z63" i="26" s="1"/>
  <c r="I56" i="26"/>
  <c r="J56" i="26" s="1"/>
  <c r="Z56" i="26" s="1"/>
  <c r="I51" i="26"/>
  <c r="J51" i="26" s="1"/>
  <c r="Z51" i="26" s="1"/>
  <c r="I47" i="26"/>
  <c r="J47" i="26" s="1"/>
  <c r="Z47" i="26" s="1"/>
  <c r="I43" i="26"/>
  <c r="J43" i="26" s="1"/>
  <c r="Z43" i="26" s="1"/>
  <c r="I39" i="26"/>
  <c r="J39" i="26" s="1"/>
  <c r="Z39" i="26" s="1"/>
  <c r="I37" i="26"/>
  <c r="J37" i="26" s="1"/>
  <c r="Z37" i="26" s="1"/>
  <c r="I33" i="26"/>
  <c r="J33" i="26" s="1"/>
  <c r="Z33" i="26" s="1"/>
  <c r="I29" i="26"/>
  <c r="J29" i="26" s="1"/>
  <c r="Z29" i="26" s="1"/>
  <c r="I24" i="26"/>
  <c r="J24" i="26" s="1"/>
  <c r="Z24" i="26" s="1"/>
  <c r="I20" i="26"/>
  <c r="J20" i="26" s="1"/>
  <c r="Z20" i="26" s="1"/>
  <c r="I16" i="26"/>
  <c r="J16" i="26" s="1"/>
  <c r="Z16" i="26" s="1"/>
  <c r="I137" i="26"/>
  <c r="J137" i="26" s="1"/>
  <c r="Z137" i="26" s="1"/>
  <c r="I135" i="26"/>
  <c r="J135" i="26" s="1"/>
  <c r="Z135" i="26" s="1"/>
  <c r="I134" i="26"/>
  <c r="J134" i="26" s="1"/>
  <c r="Z134" i="26" s="1"/>
  <c r="I126" i="26"/>
  <c r="J126" i="26" s="1"/>
  <c r="Z126" i="26" s="1"/>
  <c r="I34" i="26"/>
  <c r="J34" i="26" s="1"/>
  <c r="Z34" i="26" s="1"/>
  <c r="I92" i="26"/>
  <c r="J92" i="26" s="1"/>
  <c r="Z92" i="26" s="1"/>
  <c r="I88" i="26"/>
  <c r="J88" i="26" s="1"/>
  <c r="Z88" i="26" s="1"/>
  <c r="I84" i="26"/>
  <c r="J84" i="26" s="1"/>
  <c r="Z84" i="26" s="1"/>
  <c r="I80" i="26"/>
  <c r="J80" i="26" s="1"/>
  <c r="Z80" i="26" s="1"/>
  <c r="I76" i="26"/>
  <c r="J76" i="26" s="1"/>
  <c r="Z76" i="26" s="1"/>
  <c r="I72" i="26"/>
  <c r="J72" i="26" s="1"/>
  <c r="Z72" i="26" s="1"/>
  <c r="I68" i="26"/>
  <c r="J68" i="26" s="1"/>
  <c r="Z68" i="26" s="1"/>
  <c r="I64" i="26"/>
  <c r="J64" i="26" s="1"/>
  <c r="Z64" i="26" s="1"/>
  <c r="I60" i="26"/>
  <c r="J60" i="26" s="1"/>
  <c r="Z60" i="26" s="1"/>
  <c r="I57" i="26"/>
  <c r="J57" i="26" s="1"/>
  <c r="Z57" i="26" s="1"/>
  <c r="I52" i="26"/>
  <c r="J52" i="26" s="1"/>
  <c r="Z52" i="26" s="1"/>
  <c r="I48" i="26"/>
  <c r="J48" i="26" s="1"/>
  <c r="Z48" i="26" s="1"/>
  <c r="I44" i="26"/>
  <c r="J44" i="26" s="1"/>
  <c r="Z44" i="26" s="1"/>
  <c r="I40" i="26"/>
  <c r="J40" i="26" s="1"/>
  <c r="Z40" i="26" s="1"/>
  <c r="I12" i="26"/>
  <c r="J12" i="26" s="1"/>
  <c r="Z12" i="26" s="1"/>
  <c r="I25" i="26"/>
  <c r="J25" i="26" s="1"/>
  <c r="Z25" i="26" s="1"/>
  <c r="I21" i="26"/>
  <c r="J21" i="26" s="1"/>
  <c r="Z21" i="26" s="1"/>
  <c r="I17" i="26"/>
  <c r="J17" i="26" s="1"/>
  <c r="Z17" i="26" s="1"/>
  <c r="I30" i="26"/>
  <c r="J30" i="26" s="1"/>
  <c r="Z30" i="26" s="1"/>
  <c r="Y141" i="26" l="1"/>
  <c r="Y145" i="26" s="1"/>
  <c r="Y146" i="26" s="1"/>
  <c r="AA9" i="26"/>
  <c r="I9" i="26"/>
  <c r="J9" i="26" s="1"/>
  <c r="Z9" i="26" s="1"/>
  <c r="AB33" i="29"/>
  <c r="AD33" i="29" s="1"/>
  <c r="AB34" i="29"/>
  <c r="AD34" i="29" s="1"/>
  <c r="AB35" i="29"/>
  <c r="AD35" i="29" s="1"/>
  <c r="AB36" i="29"/>
  <c r="AD36" i="29" s="1"/>
  <c r="AB37" i="29"/>
  <c r="AD37" i="29" s="1"/>
  <c r="AB38" i="29"/>
  <c r="AD38" i="29" s="1"/>
  <c r="AB39" i="29"/>
  <c r="AD39" i="29" s="1"/>
  <c r="AB40" i="29"/>
  <c r="AD40" i="29" s="1"/>
  <c r="AB41" i="29"/>
  <c r="AD41" i="29" s="1"/>
  <c r="AB42" i="29"/>
  <c r="AD42" i="29" s="1"/>
  <c r="AB43" i="29"/>
  <c r="AD43" i="29" s="1"/>
  <c r="AB45" i="29"/>
  <c r="AD45" i="29" s="1"/>
  <c r="AB46" i="29"/>
  <c r="AD46" i="29" s="1"/>
  <c r="AA145" i="26" l="1"/>
  <c r="AA146" i="26" s="1"/>
  <c r="H141" i="26"/>
  <c r="H145" i="26" s="1"/>
  <c r="H146" i="26" s="1"/>
  <c r="L29" i="29"/>
  <c r="AB9" i="29"/>
  <c r="AB30" i="29" l="1"/>
  <c r="AD9" i="29"/>
  <c r="AD30" i="29" s="1"/>
  <c r="M29" i="29"/>
  <c r="AC29" i="29" s="1"/>
  <c r="L30" i="29"/>
  <c r="R83" i="25"/>
  <c r="S83" i="25"/>
  <c r="T83" i="25"/>
  <c r="U83" i="25"/>
  <c r="V83" i="25"/>
  <c r="W83" i="25"/>
  <c r="X83" i="25"/>
  <c r="Y83" i="25"/>
  <c r="Z83" i="25"/>
  <c r="AA83" i="25"/>
  <c r="AB83" i="25"/>
  <c r="AC83" i="25"/>
  <c r="AD83" i="25"/>
  <c r="Q60" i="25"/>
  <c r="AG60" i="25" s="1"/>
  <c r="Q61" i="25"/>
  <c r="AG61" i="25" s="1"/>
  <c r="Q62" i="25"/>
  <c r="AG62" i="25" s="1"/>
  <c r="Q63" i="25"/>
  <c r="AG63" i="25" s="1"/>
  <c r="Q64" i="25"/>
  <c r="AG64" i="25" s="1"/>
  <c r="Q65" i="25"/>
  <c r="AG65" i="25" s="1"/>
  <c r="Q69" i="25"/>
  <c r="AG69" i="25" s="1"/>
  <c r="Q70" i="25"/>
  <c r="AG70" i="25" s="1"/>
  <c r="Q74" i="25"/>
  <c r="AG74" i="25" s="1"/>
  <c r="Q75" i="25"/>
  <c r="AG75" i="25" s="1"/>
  <c r="Q76" i="25"/>
  <c r="AG76" i="25" s="1"/>
  <c r="Q78" i="25"/>
  <c r="AG78" i="25" s="1"/>
  <c r="Q79" i="25"/>
  <c r="AG79" i="25" s="1"/>
  <c r="C81" i="25"/>
  <c r="C80" i="25"/>
  <c r="C77" i="25"/>
  <c r="C72" i="25"/>
  <c r="C71" i="25"/>
  <c r="C68" i="25"/>
  <c r="C67" i="25"/>
  <c r="C51" i="25"/>
  <c r="C30" i="25"/>
  <c r="Q10" i="25"/>
  <c r="AG10" i="25" s="1"/>
  <c r="Q11" i="25"/>
  <c r="AG11" i="25" s="1"/>
  <c r="Q12" i="25"/>
  <c r="AG12" i="25" s="1"/>
  <c r="Q13" i="25"/>
  <c r="AG13" i="25" s="1"/>
  <c r="Q14" i="25"/>
  <c r="AG14" i="25" s="1"/>
  <c r="Q15" i="25"/>
  <c r="AG15" i="25" s="1"/>
  <c r="Q16" i="25"/>
  <c r="AG16" i="25" s="1"/>
  <c r="Q17" i="25"/>
  <c r="AG17" i="25" s="1"/>
  <c r="Q18" i="25"/>
  <c r="AG18" i="25" s="1"/>
  <c r="Q19" i="25"/>
  <c r="AG19" i="25" s="1"/>
  <c r="Q20" i="25"/>
  <c r="AG20" i="25" s="1"/>
  <c r="Q21" i="25"/>
  <c r="AG21" i="25" s="1"/>
  <c r="Q22" i="25"/>
  <c r="AG22" i="25" s="1"/>
  <c r="Q23" i="25"/>
  <c r="AG23" i="25" s="1"/>
  <c r="Q24" i="25"/>
  <c r="AG24" i="25" s="1"/>
  <c r="Q25" i="25"/>
  <c r="AG25" i="25" s="1"/>
  <c r="Q26" i="25"/>
  <c r="AG26" i="25" s="1"/>
  <c r="Q27" i="25"/>
  <c r="AG27" i="25" s="1"/>
  <c r="Q28" i="25"/>
  <c r="AG28" i="25" s="1"/>
  <c r="P67" i="25" l="1"/>
  <c r="P77" i="25"/>
  <c r="P68" i="25"/>
  <c r="P80" i="25"/>
  <c r="P71" i="25"/>
  <c r="P81" i="25"/>
  <c r="P51" i="25"/>
  <c r="P72" i="25"/>
  <c r="C83" i="25"/>
  <c r="M9" i="29"/>
  <c r="AC9" i="29" s="1"/>
  <c r="Q9" i="25"/>
  <c r="AG9" i="25" s="1"/>
  <c r="M30" i="29" l="1"/>
  <c r="AC30" i="29"/>
  <c r="O83" i="25"/>
  <c r="O105" i="25" s="1"/>
  <c r="Q30" i="25"/>
  <c r="Q77" i="25"/>
  <c r="AG77" i="25" s="1"/>
  <c r="Q72" i="25"/>
  <c r="AG72" i="25" s="1"/>
  <c r="Q81" i="25"/>
  <c r="AG81" i="25" s="1"/>
  <c r="Q80" i="25"/>
  <c r="AG80" i="25" s="1"/>
  <c r="Q67" i="25"/>
  <c r="AG67" i="25" s="1"/>
  <c r="Q71" i="25"/>
  <c r="AG71" i="25" s="1"/>
  <c r="Q68" i="25"/>
  <c r="AG68" i="25" s="1"/>
  <c r="P83" i="25"/>
  <c r="Q58" i="25"/>
  <c r="AG58" i="25" s="1"/>
  <c r="Q57" i="25"/>
  <c r="AG57" i="25" s="1"/>
  <c r="Q56" i="25"/>
  <c r="AG56" i="25" s="1"/>
  <c r="Q54" i="25"/>
  <c r="AG54" i="25" s="1"/>
  <c r="Q53" i="25"/>
  <c r="AG53" i="25" s="1"/>
  <c r="Q52" i="25"/>
  <c r="AG52" i="25" s="1"/>
  <c r="Q51" i="25"/>
  <c r="AG51" i="25" s="1"/>
  <c r="Q50" i="25"/>
  <c r="AG50" i="25" s="1"/>
  <c r="Q49" i="25"/>
  <c r="AG49" i="25" s="1"/>
  <c r="Q48" i="25"/>
  <c r="AG48" i="25" s="1"/>
  <c r="Q47" i="25"/>
  <c r="AG47" i="25" s="1"/>
  <c r="Q46" i="25"/>
  <c r="AG46" i="25" s="1"/>
  <c r="Q45" i="25"/>
  <c r="AG45" i="25" s="1"/>
  <c r="Q44" i="25"/>
  <c r="AG44" i="25" s="1"/>
  <c r="Q43" i="25"/>
  <c r="AG43" i="25" s="1"/>
  <c r="Q42" i="25"/>
  <c r="AG42" i="25" s="1"/>
  <c r="Q41" i="25"/>
  <c r="AG41" i="25" s="1"/>
  <c r="Q40" i="25"/>
  <c r="AG40" i="25" s="1"/>
  <c r="Q39" i="25"/>
  <c r="AG39" i="25" s="1"/>
  <c r="Q38" i="25"/>
  <c r="AG38" i="25" s="1"/>
  <c r="Q37" i="25"/>
  <c r="AG37" i="25" s="1"/>
  <c r="Q36" i="25"/>
  <c r="AG36" i="25" s="1"/>
  <c r="Q35" i="25"/>
  <c r="AG35" i="25" s="1"/>
  <c r="Q34" i="25"/>
  <c r="AG34" i="25" s="1"/>
  <c r="Q33" i="25"/>
  <c r="AG33" i="25" s="1"/>
  <c r="N83" i="25"/>
  <c r="C113" i="24"/>
  <c r="L136" i="24" l="1"/>
  <c r="AE136" i="24"/>
  <c r="L128" i="24"/>
  <c r="AE128" i="24"/>
  <c r="L135" i="24"/>
  <c r="AE135" i="24"/>
  <c r="L131" i="24"/>
  <c r="AE131" i="24"/>
  <c r="L127" i="24"/>
  <c r="AE127" i="24"/>
  <c r="L133" i="24"/>
  <c r="AE133" i="24"/>
  <c r="L132" i="24"/>
  <c r="AE132" i="24"/>
  <c r="L134" i="24"/>
  <c r="AE134" i="24"/>
  <c r="L130" i="24"/>
  <c r="AE130" i="24"/>
  <c r="L129" i="24"/>
  <c r="AE129" i="24"/>
  <c r="M129" i="24"/>
  <c r="C137" i="24"/>
  <c r="C138" i="24" s="1"/>
  <c r="M136" i="24"/>
  <c r="M131" i="24"/>
  <c r="M133" i="24"/>
  <c r="M132" i="24"/>
  <c r="M135" i="24"/>
  <c r="M134" i="24"/>
  <c r="M130" i="24"/>
  <c r="N130" i="24" l="1"/>
  <c r="AD130" i="24" s="1"/>
  <c r="N133" i="24"/>
  <c r="AD133" i="24" s="1"/>
  <c r="N136" i="24"/>
  <c r="AD136" i="24" s="1"/>
  <c r="N132" i="24"/>
  <c r="AD132" i="24" s="1"/>
  <c r="N131" i="24"/>
  <c r="AD131" i="24" s="1"/>
  <c r="N135" i="24"/>
  <c r="AD135" i="24" s="1"/>
  <c r="N134" i="24"/>
  <c r="AD134" i="24" s="1"/>
  <c r="N129" i="24"/>
  <c r="AD129" i="24" s="1"/>
  <c r="Q32" i="25"/>
  <c r="Q83" i="25" l="1"/>
  <c r="K106" i="24"/>
  <c r="L107" i="24"/>
  <c r="M127" i="24"/>
  <c r="N127" i="24" s="1"/>
  <c r="AD127" i="24" s="1"/>
  <c r="M128" i="24"/>
  <c r="N128" i="24" s="1"/>
  <c r="AD128" i="24" s="1"/>
  <c r="K105" i="24"/>
  <c r="L105" i="24" s="1"/>
  <c r="M74" i="24"/>
  <c r="M73" i="24"/>
  <c r="L72" i="24"/>
  <c r="L76" i="24" s="1"/>
  <c r="L90" i="24" s="1"/>
  <c r="C56" i="24"/>
  <c r="C54" i="24"/>
  <c r="K54" i="24" s="1"/>
  <c r="C50" i="24"/>
  <c r="K50" i="24" s="1"/>
  <c r="C48" i="24"/>
  <c r="K48" i="24" s="1"/>
  <c r="C46" i="24"/>
  <c r="K46" i="24" s="1"/>
  <c r="C45" i="24"/>
  <c r="K45" i="24" s="1"/>
  <c r="C43" i="24"/>
  <c r="K43" i="24" s="1"/>
  <c r="C37" i="24"/>
  <c r="K37" i="24" s="1"/>
  <c r="C35" i="24"/>
  <c r="K35" i="24" s="1"/>
  <c r="C32" i="24"/>
  <c r="K32" i="24" s="1"/>
  <c r="M32" i="24" l="1"/>
  <c r="L32" i="24"/>
  <c r="M56" i="24"/>
  <c r="L56" i="24"/>
  <c r="L45" i="24"/>
  <c r="M45" i="24"/>
  <c r="AE48" i="24"/>
  <c r="L116" i="24"/>
  <c r="AE116" i="24"/>
  <c r="L108" i="24"/>
  <c r="AE108" i="24"/>
  <c r="L119" i="24"/>
  <c r="AE119" i="24"/>
  <c r="L115" i="24"/>
  <c r="AE115" i="24"/>
  <c r="AE45" i="24"/>
  <c r="L126" i="24"/>
  <c r="AE126" i="24"/>
  <c r="L122" i="24"/>
  <c r="AE122" i="24"/>
  <c r="L118" i="24"/>
  <c r="AE118" i="24"/>
  <c r="L114" i="24"/>
  <c r="AE114" i="24"/>
  <c r="L110" i="24"/>
  <c r="AE110" i="24"/>
  <c r="L106" i="24"/>
  <c r="K137" i="24"/>
  <c r="K138" i="24" s="1"/>
  <c r="AE37" i="24"/>
  <c r="L124" i="24"/>
  <c r="AE124" i="24"/>
  <c r="L120" i="24"/>
  <c r="AE120" i="24"/>
  <c r="L112" i="24"/>
  <c r="AE112" i="24"/>
  <c r="AE43" i="24"/>
  <c r="AE50" i="24"/>
  <c r="L123" i="24"/>
  <c r="AE123" i="24"/>
  <c r="L111" i="24"/>
  <c r="AE111" i="24"/>
  <c r="AE54" i="24"/>
  <c r="AE35" i="24"/>
  <c r="AE46" i="24"/>
  <c r="AE56" i="24"/>
  <c r="L125" i="24"/>
  <c r="AE125" i="24"/>
  <c r="L121" i="24"/>
  <c r="AE121" i="24"/>
  <c r="L117" i="24"/>
  <c r="AE117" i="24"/>
  <c r="L113" i="24"/>
  <c r="AE113" i="24"/>
  <c r="L109" i="24"/>
  <c r="AE109" i="24"/>
  <c r="K69" i="24"/>
  <c r="K91" i="24" s="1"/>
  <c r="M106" i="24"/>
  <c r="M109" i="24"/>
  <c r="M123" i="24"/>
  <c r="M119" i="24"/>
  <c r="M115" i="24"/>
  <c r="M111" i="24"/>
  <c r="M108" i="24"/>
  <c r="M126" i="24"/>
  <c r="M122" i="24"/>
  <c r="M118" i="24"/>
  <c r="M114" i="24"/>
  <c r="M110" i="24"/>
  <c r="N110" i="24" s="1"/>
  <c r="AD110" i="24" s="1"/>
  <c r="M107" i="24"/>
  <c r="M125" i="24"/>
  <c r="M121" i="24"/>
  <c r="M117" i="24"/>
  <c r="M113" i="24"/>
  <c r="C69" i="24"/>
  <c r="M124" i="24"/>
  <c r="M120" i="24"/>
  <c r="M116" i="24"/>
  <c r="M112" i="24"/>
  <c r="M79" i="24"/>
  <c r="M89" i="24" s="1"/>
  <c r="M26" i="24"/>
  <c r="M25" i="24"/>
  <c r="M28" i="24"/>
  <c r="M27" i="24"/>
  <c r="M72" i="24"/>
  <c r="M76" i="24" s="1"/>
  <c r="M90" i="24" s="1"/>
  <c r="M105" i="24"/>
  <c r="N121" i="24" l="1"/>
  <c r="AD121" i="24" s="1"/>
  <c r="L137" i="24"/>
  <c r="L138" i="24" s="1"/>
  <c r="M137" i="24"/>
  <c r="M138" i="24" s="1"/>
  <c r="N106" i="24"/>
  <c r="N109" i="24"/>
  <c r="AD109" i="24" s="1"/>
  <c r="L69" i="24"/>
  <c r="N126" i="24"/>
  <c r="AD126" i="24" s="1"/>
  <c r="N119" i="24"/>
  <c r="AD119" i="24" s="1"/>
  <c r="N120" i="24"/>
  <c r="AD120" i="24" s="1"/>
  <c r="N116" i="24"/>
  <c r="AD116" i="24" s="1"/>
  <c r="N117" i="24"/>
  <c r="AD117" i="24" s="1"/>
  <c r="N107" i="24"/>
  <c r="N122" i="24"/>
  <c r="AD122" i="24" s="1"/>
  <c r="N115" i="24"/>
  <c r="AD115" i="24" s="1"/>
  <c r="N112" i="24"/>
  <c r="AD112" i="24" s="1"/>
  <c r="N113" i="24"/>
  <c r="AD113" i="24" s="1"/>
  <c r="N118" i="24"/>
  <c r="AD118" i="24" s="1"/>
  <c r="N111" i="24"/>
  <c r="AD111" i="24" s="1"/>
  <c r="N124" i="24"/>
  <c r="AD124" i="24" s="1"/>
  <c r="N125" i="24"/>
  <c r="AD125" i="24" s="1"/>
  <c r="N114" i="24"/>
  <c r="AD114" i="24" s="1"/>
  <c r="N108" i="24"/>
  <c r="AD108" i="24" s="1"/>
  <c r="N123" i="24"/>
  <c r="AD123" i="24" s="1"/>
  <c r="N61" i="24"/>
  <c r="AD61" i="24" s="1"/>
  <c r="N66" i="24"/>
  <c r="AD66" i="24" s="1"/>
  <c r="N39" i="24"/>
  <c r="AD39" i="24" s="1"/>
  <c r="N59" i="24"/>
  <c r="AD59" i="24" s="1"/>
  <c r="N43" i="24"/>
  <c r="AD43" i="24" s="1"/>
  <c r="N34" i="24"/>
  <c r="AD34" i="24" s="1"/>
  <c r="N48" i="24"/>
  <c r="AD48" i="24" s="1"/>
  <c r="N41" i="24"/>
  <c r="AD41" i="24" s="1"/>
  <c r="N35" i="24"/>
  <c r="AD35" i="24" s="1"/>
  <c r="N36" i="24"/>
  <c r="AD36" i="24" s="1"/>
  <c r="N62" i="24"/>
  <c r="AD62" i="24" s="1"/>
  <c r="N44" i="24"/>
  <c r="AD44" i="24" s="1"/>
  <c r="N26" i="24"/>
  <c r="AD26" i="24" s="1"/>
  <c r="N50" i="24"/>
  <c r="AD50" i="24" s="1"/>
  <c r="N42" i="24"/>
  <c r="AD42" i="24" s="1"/>
  <c r="N68" i="24"/>
  <c r="AD68" i="24" s="1"/>
  <c r="N49" i="24"/>
  <c r="AD49" i="24" s="1"/>
  <c r="N40" i="24"/>
  <c r="AD40" i="24" s="1"/>
  <c r="N28" i="24"/>
  <c r="AD28" i="24" s="1"/>
  <c r="N56" i="24"/>
  <c r="AD56" i="24" s="1"/>
  <c r="N58" i="24"/>
  <c r="AD58" i="24" s="1"/>
  <c r="N52" i="24"/>
  <c r="AD52" i="24" s="1"/>
  <c r="N38" i="24"/>
  <c r="AD38" i="24" s="1"/>
  <c r="N67" i="24"/>
  <c r="AD67" i="24" s="1"/>
  <c r="N51" i="24"/>
  <c r="AD51" i="24" s="1"/>
  <c r="N64" i="24"/>
  <c r="AD64" i="24" s="1"/>
  <c r="N55" i="24"/>
  <c r="AD55" i="24" s="1"/>
  <c r="N46" i="24"/>
  <c r="AD46" i="24" s="1"/>
  <c r="N45" i="24"/>
  <c r="AD45" i="24" s="1"/>
  <c r="N27" i="24"/>
  <c r="AD27" i="24" s="1"/>
  <c r="M69" i="24"/>
  <c r="N65" i="24"/>
  <c r="AD65" i="24" s="1"/>
  <c r="N53" i="24"/>
  <c r="AD53" i="24" s="1"/>
  <c r="N33" i="24"/>
  <c r="AD33" i="24" s="1"/>
  <c r="N25" i="24"/>
  <c r="AD25" i="24" s="1"/>
  <c r="N54" i="24"/>
  <c r="AD54" i="24" s="1"/>
  <c r="N63" i="24"/>
  <c r="AD63" i="24" s="1"/>
  <c r="N57" i="24"/>
  <c r="AD57" i="24" s="1"/>
  <c r="N60" i="24"/>
  <c r="AD60" i="24" s="1"/>
  <c r="N37" i="24"/>
  <c r="AD37" i="24" s="1"/>
  <c r="N105" i="24"/>
  <c r="N137" i="24" l="1"/>
  <c r="N138" i="24" s="1"/>
  <c r="N32" i="24"/>
  <c r="L13" i="24"/>
  <c r="Z32" i="23"/>
  <c r="C65" i="23"/>
  <c r="J64" i="23"/>
  <c r="J65" i="23" s="1"/>
  <c r="N69" i="24" l="1"/>
  <c r="Z65" i="23"/>
  <c r="AB65" i="23"/>
  <c r="L29" i="24"/>
  <c r="L91" i="24" s="1"/>
  <c r="M23" i="24"/>
  <c r="K64" i="23"/>
  <c r="M24" i="24"/>
  <c r="Z60" i="23"/>
  <c r="Z42" i="23"/>
  <c r="H54" i="23"/>
  <c r="C42" i="23"/>
  <c r="H42" i="23" s="1"/>
  <c r="C33" i="23"/>
  <c r="H33" i="23" s="1"/>
  <c r="C32" i="23"/>
  <c r="J9" i="23"/>
  <c r="J30" i="23" s="1"/>
  <c r="AB60" i="23" l="1"/>
  <c r="AA60" i="23"/>
  <c r="AB33" i="23"/>
  <c r="AB54" i="23"/>
  <c r="Z57" i="23"/>
  <c r="AB42" i="23"/>
  <c r="J42" i="23"/>
  <c r="K42" i="23" s="1"/>
  <c r="AA42" i="23" s="1"/>
  <c r="C57" i="23"/>
  <c r="H32" i="23"/>
  <c r="K65" i="23"/>
  <c r="AA65" i="23"/>
  <c r="J33" i="23"/>
  <c r="J54" i="23"/>
  <c r="N23" i="24"/>
  <c r="AD23" i="24" s="1"/>
  <c r="N24" i="24"/>
  <c r="AD24" i="24" s="1"/>
  <c r="AB32" i="23" l="1"/>
  <c r="AB57" i="23" s="1"/>
  <c r="K33" i="23"/>
  <c r="AA33" i="23" s="1"/>
  <c r="K54" i="23"/>
  <c r="AA54" i="23" s="1"/>
  <c r="H57" i="23"/>
  <c r="I57" i="23"/>
  <c r="J32" i="23"/>
  <c r="J57" i="23" s="1"/>
  <c r="K9" i="23"/>
  <c r="AA9" i="23" s="1"/>
  <c r="J99" i="23" l="1"/>
  <c r="K99" i="23" s="1"/>
  <c r="AA99" i="23" s="1"/>
  <c r="J95" i="23"/>
  <c r="J91" i="23"/>
  <c r="K91" i="23" s="1"/>
  <c r="AA91" i="23" s="1"/>
  <c r="J102" i="23"/>
  <c r="J94" i="23"/>
  <c r="K94" i="23" s="1"/>
  <c r="AA94" i="23" s="1"/>
  <c r="J90" i="23"/>
  <c r="AA30" i="23"/>
  <c r="K30" i="23"/>
  <c r="J98" i="23"/>
  <c r="K98" i="23" s="1"/>
  <c r="AA98" i="23" s="1"/>
  <c r="J101" i="23"/>
  <c r="J97" i="23"/>
  <c r="K97" i="23" s="1"/>
  <c r="AA97" i="23" s="1"/>
  <c r="J93" i="23"/>
  <c r="J89" i="23"/>
  <c r="K89" i="23" s="1"/>
  <c r="AA89" i="23" s="1"/>
  <c r="J100" i="23"/>
  <c r="K96" i="23"/>
  <c r="AA96" i="23" s="1"/>
  <c r="J96" i="23"/>
  <c r="J92" i="23"/>
  <c r="K92" i="23" s="1"/>
  <c r="AA92" i="23" s="1"/>
  <c r="K32" i="23"/>
  <c r="AA32" i="23" s="1"/>
  <c r="C148" i="22"/>
  <c r="L148" i="22" s="1"/>
  <c r="M148" i="22" s="1"/>
  <c r="C147" i="22"/>
  <c r="L147" i="22" s="1"/>
  <c r="M147" i="22" s="1"/>
  <c r="N36" i="22"/>
  <c r="O36" i="22" s="1"/>
  <c r="C85" i="22"/>
  <c r="L85" i="22" s="1"/>
  <c r="C83" i="22"/>
  <c r="L83" i="22" s="1"/>
  <c r="C77" i="22"/>
  <c r="L77" i="22" s="1"/>
  <c r="C72" i="22"/>
  <c r="L72" i="22" s="1"/>
  <c r="C65" i="22"/>
  <c r="L65" i="22" s="1"/>
  <c r="C64" i="22"/>
  <c r="L64" i="22" s="1"/>
  <c r="C61" i="22"/>
  <c r="L61" i="22" s="1"/>
  <c r="C58" i="22"/>
  <c r="L58" i="22" s="1"/>
  <c r="C54" i="22"/>
  <c r="L54" i="22" s="1"/>
  <c r="C45" i="22"/>
  <c r="L45" i="22" s="1"/>
  <c r="AD9" i="22"/>
  <c r="AF9" i="22" s="1"/>
  <c r="M77" i="22" l="1"/>
  <c r="AF77" i="22"/>
  <c r="M45" i="22"/>
  <c r="AF45" i="22"/>
  <c r="M83" i="22"/>
  <c r="AF83" i="22"/>
  <c r="M61" i="22"/>
  <c r="AF61" i="22"/>
  <c r="M64" i="22"/>
  <c r="AF64" i="22"/>
  <c r="M54" i="22"/>
  <c r="AF54" i="22"/>
  <c r="M65" i="22"/>
  <c r="AF65" i="22"/>
  <c r="M85" i="22"/>
  <c r="AF85" i="22"/>
  <c r="M58" i="22"/>
  <c r="AF58" i="22"/>
  <c r="M72" i="22"/>
  <c r="AF72" i="22"/>
  <c r="AE36" i="22"/>
  <c r="AD33" i="22"/>
  <c r="AF33" i="22"/>
  <c r="C177" i="22"/>
  <c r="C178" i="22" s="1"/>
  <c r="N147" i="22"/>
  <c r="K93" i="23"/>
  <c r="AA93" i="23" s="1"/>
  <c r="K102" i="23"/>
  <c r="AA102" i="23" s="1"/>
  <c r="AF148" i="22"/>
  <c r="C88" i="22"/>
  <c r="C107" i="22" s="1"/>
  <c r="K57" i="23"/>
  <c r="AA57" i="23"/>
  <c r="K100" i="23"/>
  <c r="AA100" i="23" s="1"/>
  <c r="K101" i="23"/>
  <c r="AA101" i="23" s="1"/>
  <c r="K90" i="23"/>
  <c r="AA90" i="23" s="1"/>
  <c r="K95" i="23"/>
  <c r="AA95" i="23" s="1"/>
  <c r="N174" i="22"/>
  <c r="N170" i="22"/>
  <c r="N166" i="22"/>
  <c r="N162" i="22"/>
  <c r="O162" i="22" s="1"/>
  <c r="AE162" i="22" s="1"/>
  <c r="N158" i="22"/>
  <c r="N154" i="22"/>
  <c r="N150" i="22"/>
  <c r="O150" i="22" s="1"/>
  <c r="AE150" i="22" s="1"/>
  <c r="N144" i="22"/>
  <c r="O144" i="22" s="1"/>
  <c r="AE144" i="22" s="1"/>
  <c r="N140" i="22"/>
  <c r="N136" i="22"/>
  <c r="N132" i="22"/>
  <c r="N173" i="22"/>
  <c r="N169" i="22"/>
  <c r="N165" i="22"/>
  <c r="O165" i="22" s="1"/>
  <c r="AE165" i="22" s="1"/>
  <c r="N161" i="22"/>
  <c r="N157" i="22"/>
  <c r="N153" i="22"/>
  <c r="N149" i="22"/>
  <c r="O149" i="22" s="1"/>
  <c r="AE149" i="22" s="1"/>
  <c r="N143" i="22"/>
  <c r="N139" i="22"/>
  <c r="O139" i="22" s="1"/>
  <c r="AE139" i="22" s="1"/>
  <c r="N135" i="22"/>
  <c r="O135" i="22" s="1"/>
  <c r="AE135" i="22" s="1"/>
  <c r="N131" i="22"/>
  <c r="N172" i="22"/>
  <c r="O172" i="22" s="1"/>
  <c r="AE172" i="22" s="1"/>
  <c r="N168" i="22"/>
  <c r="N164" i="22"/>
  <c r="N160" i="22"/>
  <c r="N156" i="22"/>
  <c r="O156" i="22" s="1"/>
  <c r="AE156" i="22" s="1"/>
  <c r="N152" i="22"/>
  <c r="N146" i="22"/>
  <c r="N142" i="22"/>
  <c r="N138" i="22"/>
  <c r="O138" i="22" s="1"/>
  <c r="AE138" i="22" s="1"/>
  <c r="N134" i="22"/>
  <c r="N130" i="22"/>
  <c r="N148" i="22"/>
  <c r="N175" i="22"/>
  <c r="N171" i="22"/>
  <c r="N167" i="22"/>
  <c r="O167" i="22" s="1"/>
  <c r="AE167" i="22" s="1"/>
  <c r="N163" i="22"/>
  <c r="N159" i="22"/>
  <c r="N155" i="22"/>
  <c r="N151" i="22"/>
  <c r="O151" i="22" s="1"/>
  <c r="AE151" i="22" s="1"/>
  <c r="N145" i="22"/>
  <c r="N141" i="22"/>
  <c r="N137" i="22"/>
  <c r="N133" i="22"/>
  <c r="O133" i="22" s="1"/>
  <c r="AE133" i="22" s="1"/>
  <c r="N129" i="22"/>
  <c r="N13" i="22"/>
  <c r="N58" i="22"/>
  <c r="N72" i="22"/>
  <c r="N87" i="22"/>
  <c r="N81" i="22"/>
  <c r="N76" i="22"/>
  <c r="N71" i="22"/>
  <c r="N67" i="22"/>
  <c r="N60" i="22"/>
  <c r="N53" i="22"/>
  <c r="N49" i="22"/>
  <c r="N44" i="22"/>
  <c r="N40" i="22"/>
  <c r="O95" i="22"/>
  <c r="AE95" i="22" s="1"/>
  <c r="N95" i="22"/>
  <c r="N32" i="22"/>
  <c r="N16" i="22"/>
  <c r="N61" i="22"/>
  <c r="O61" i="22" s="1"/>
  <c r="AE61" i="22" s="1"/>
  <c r="N77" i="22"/>
  <c r="N86" i="22"/>
  <c r="N80" i="22"/>
  <c r="O80" i="22" s="1"/>
  <c r="AE80" i="22" s="1"/>
  <c r="N75" i="22"/>
  <c r="O75" i="22" s="1"/>
  <c r="AE75" i="22" s="1"/>
  <c r="N70" i="22"/>
  <c r="O70" i="22" s="1"/>
  <c r="AE70" i="22" s="1"/>
  <c r="N66" i="22"/>
  <c r="N59" i="22"/>
  <c r="N52" i="22"/>
  <c r="O52" i="22" s="1"/>
  <c r="AE52" i="22" s="1"/>
  <c r="N48" i="22"/>
  <c r="N43" i="22"/>
  <c r="N39" i="22"/>
  <c r="O39" i="22" s="1"/>
  <c r="AE39" i="22" s="1"/>
  <c r="N92" i="22"/>
  <c r="N17" i="22"/>
  <c r="N45" i="22"/>
  <c r="N83" i="22"/>
  <c r="N84" i="22"/>
  <c r="N79" i="22"/>
  <c r="N74" i="22"/>
  <c r="N69" i="22"/>
  <c r="N63" i="22"/>
  <c r="O63" i="22" s="1"/>
  <c r="AE63" i="22" s="1"/>
  <c r="N57" i="22"/>
  <c r="N51" i="22"/>
  <c r="N47" i="22"/>
  <c r="O47" i="22" s="1"/>
  <c r="AE47" i="22" s="1"/>
  <c r="N42" i="22"/>
  <c r="O42" i="22" s="1"/>
  <c r="AE42" i="22" s="1"/>
  <c r="N38" i="22"/>
  <c r="O93" i="22"/>
  <c r="AE93" i="22" s="1"/>
  <c r="N93" i="22"/>
  <c r="N29" i="22"/>
  <c r="N28" i="22"/>
  <c r="N31" i="22"/>
  <c r="N27" i="22"/>
  <c r="O27" i="22" s="1"/>
  <c r="AE27" i="22" s="1"/>
  <c r="N15" i="22"/>
  <c r="N64" i="22"/>
  <c r="O64" i="22" s="1"/>
  <c r="AE64" i="22" s="1"/>
  <c r="N30" i="22"/>
  <c r="O30" i="22" s="1"/>
  <c r="AE30" i="22" s="1"/>
  <c r="N18" i="22"/>
  <c r="N14" i="22"/>
  <c r="O14" i="22" s="1"/>
  <c r="AE14" i="22" s="1"/>
  <c r="N54" i="22"/>
  <c r="O54" i="22" s="1"/>
  <c r="AE54" i="22" s="1"/>
  <c r="N65" i="22"/>
  <c r="N85" i="22"/>
  <c r="O85" i="22" s="1"/>
  <c r="AE85" i="22" s="1"/>
  <c r="N82" i="22"/>
  <c r="O82" i="22" s="1"/>
  <c r="AE82" i="22" s="1"/>
  <c r="N78" i="22"/>
  <c r="N73" i="22"/>
  <c r="N68" i="22"/>
  <c r="N62" i="22"/>
  <c r="O62" i="22" s="1"/>
  <c r="AE62" i="22" s="1"/>
  <c r="N56" i="22"/>
  <c r="N50" i="22"/>
  <c r="N46" i="22"/>
  <c r="O46" i="22" s="1"/>
  <c r="AE46" i="22" s="1"/>
  <c r="N41" i="22"/>
  <c r="O41" i="22" s="1"/>
  <c r="AE41" i="22" s="1"/>
  <c r="N37" i="22"/>
  <c r="N94" i="22"/>
  <c r="O94" i="22"/>
  <c r="AE94" i="22" s="1"/>
  <c r="O92" i="22"/>
  <c r="N9" i="22"/>
  <c r="N98" i="22" l="1"/>
  <c r="O98" i="22"/>
  <c r="M98" i="22"/>
  <c r="M88" i="22"/>
  <c r="L88" i="22"/>
  <c r="L107" i="22" s="1"/>
  <c r="AF147" i="22"/>
  <c r="M177" i="22"/>
  <c r="M178" i="22" s="1"/>
  <c r="L177" i="22"/>
  <c r="L178" i="22" s="1"/>
  <c r="O129" i="22"/>
  <c r="AE129" i="22" s="1"/>
  <c r="O145" i="22"/>
  <c r="AE145" i="22" s="1"/>
  <c r="O163" i="22"/>
  <c r="AE163" i="22" s="1"/>
  <c r="O134" i="22"/>
  <c r="AE134" i="22" s="1"/>
  <c r="O152" i="22"/>
  <c r="AE152" i="22" s="1"/>
  <c r="O168" i="22"/>
  <c r="AE168" i="22" s="1"/>
  <c r="O140" i="22"/>
  <c r="AE140" i="22" s="1"/>
  <c r="O158" i="22"/>
  <c r="AE158" i="22" s="1"/>
  <c r="O174" i="22"/>
  <c r="AE174" i="22" s="1"/>
  <c r="O148" i="22"/>
  <c r="AE148" i="22" s="1"/>
  <c r="O142" i="22"/>
  <c r="AE142" i="22" s="1"/>
  <c r="O160" i="22"/>
  <c r="AE160" i="22" s="1"/>
  <c r="O132" i="22"/>
  <c r="AE132" i="22" s="1"/>
  <c r="O166" i="22"/>
  <c r="AE166" i="22" s="1"/>
  <c r="O131" i="22"/>
  <c r="AE131" i="22" s="1"/>
  <c r="O143" i="22"/>
  <c r="AE143" i="22" s="1"/>
  <c r="O161" i="22"/>
  <c r="AE161" i="22" s="1"/>
  <c r="O141" i="22"/>
  <c r="AE141" i="22" s="1"/>
  <c r="O159" i="22"/>
  <c r="AE159" i="22" s="1"/>
  <c r="O175" i="22"/>
  <c r="AE175" i="22" s="1"/>
  <c r="O146" i="22"/>
  <c r="AE146" i="22" s="1"/>
  <c r="O157" i="22"/>
  <c r="AE157" i="22" s="1"/>
  <c r="O173" i="22"/>
  <c r="AE173" i="22" s="1"/>
  <c r="O15" i="22"/>
  <c r="AE15" i="22" s="1"/>
  <c r="O31" i="22"/>
  <c r="AE31" i="22" s="1"/>
  <c r="O40" i="22"/>
  <c r="AE40" i="22" s="1"/>
  <c r="O71" i="22"/>
  <c r="AE71" i="22" s="1"/>
  <c r="O81" i="22"/>
  <c r="AE81" i="22" s="1"/>
  <c r="O137" i="22"/>
  <c r="AE137" i="22" s="1"/>
  <c r="O155" i="22"/>
  <c r="AE155" i="22" s="1"/>
  <c r="O171" i="22"/>
  <c r="AE171" i="22" s="1"/>
  <c r="O130" i="22"/>
  <c r="AE130" i="22" s="1"/>
  <c r="O164" i="22"/>
  <c r="AE164" i="22" s="1"/>
  <c r="O153" i="22"/>
  <c r="AE153" i="22" s="1"/>
  <c r="O169" i="22"/>
  <c r="AE169" i="22" s="1"/>
  <c r="O136" i="22"/>
  <c r="AE136" i="22" s="1"/>
  <c r="O154" i="22"/>
  <c r="AE154" i="22" s="1"/>
  <c r="O170" i="22"/>
  <c r="AE170" i="22" s="1"/>
  <c r="O18" i="22"/>
  <c r="AE18" i="22" s="1"/>
  <c r="O16" i="22"/>
  <c r="AE16" i="22" s="1"/>
  <c r="O53" i="22"/>
  <c r="AE53" i="22" s="1"/>
  <c r="O76" i="22"/>
  <c r="AE76" i="22" s="1"/>
  <c r="O58" i="22"/>
  <c r="AE58" i="22" s="1"/>
  <c r="O51" i="22"/>
  <c r="AE51" i="22" s="1"/>
  <c r="O74" i="22"/>
  <c r="AE74" i="22" s="1"/>
  <c r="O84" i="22"/>
  <c r="AE84" i="22" s="1"/>
  <c r="O45" i="22"/>
  <c r="AE45" i="22" s="1"/>
  <c r="O43" i="22"/>
  <c r="AE43" i="22" s="1"/>
  <c r="O66" i="22"/>
  <c r="AE66" i="22" s="1"/>
  <c r="O86" i="22"/>
  <c r="AE86" i="22" s="1"/>
  <c r="O9" i="22"/>
  <c r="O32" i="22"/>
  <c r="AE32" i="22" s="1"/>
  <c r="O13" i="22"/>
  <c r="AE13" i="22" s="1"/>
  <c r="O50" i="22"/>
  <c r="AE50" i="22" s="1"/>
  <c r="O73" i="22"/>
  <c r="AE73" i="22" s="1"/>
  <c r="O29" i="22"/>
  <c r="AE29" i="22" s="1"/>
  <c r="O17" i="22"/>
  <c r="AE17" i="22" s="1"/>
  <c r="O44" i="22"/>
  <c r="AE44" i="22" s="1"/>
  <c r="O67" i="22"/>
  <c r="AE67" i="22" s="1"/>
  <c r="O87" i="22"/>
  <c r="AE87" i="22" s="1"/>
  <c r="O37" i="22"/>
  <c r="AE37" i="22" s="1"/>
  <c r="O56" i="22"/>
  <c r="AE56" i="22" s="1"/>
  <c r="O68" i="22"/>
  <c r="AE68" i="22" s="1"/>
  <c r="O78" i="22"/>
  <c r="AE78" i="22" s="1"/>
  <c r="O65" i="22"/>
  <c r="AE65" i="22" s="1"/>
  <c r="O28" i="22"/>
  <c r="AE28" i="22" s="1"/>
  <c r="O38" i="22"/>
  <c r="AE38" i="22" s="1"/>
  <c r="O57" i="22"/>
  <c r="AE57" i="22" s="1"/>
  <c r="O69" i="22"/>
  <c r="AE69" i="22" s="1"/>
  <c r="O79" i="22"/>
  <c r="AE79" i="22" s="1"/>
  <c r="O83" i="22"/>
  <c r="AE83" i="22" s="1"/>
  <c r="O48" i="22"/>
  <c r="AE48" i="22" s="1"/>
  <c r="O59" i="22"/>
  <c r="AE59" i="22" s="1"/>
  <c r="O77" i="22"/>
  <c r="AE77" i="22" s="1"/>
  <c r="O49" i="22"/>
  <c r="AE49" i="22" s="1"/>
  <c r="O60" i="22"/>
  <c r="AE60" i="22" s="1"/>
  <c r="O72" i="22"/>
  <c r="AE72" i="22" s="1"/>
  <c r="O147" i="22" l="1"/>
  <c r="AE147" i="22" s="1"/>
  <c r="AE9" i="22"/>
  <c r="Z78" i="21"/>
  <c r="Y78" i="21"/>
  <c r="AB77" i="21"/>
  <c r="AD77" i="21" s="1"/>
  <c r="AB76" i="21"/>
  <c r="AD76" i="21" s="1"/>
  <c r="AB75" i="21"/>
  <c r="AD75" i="21" s="1"/>
  <c r="AB74" i="21"/>
  <c r="AD74" i="21" s="1"/>
  <c r="AB73" i="21"/>
  <c r="AD73" i="21" s="1"/>
  <c r="AB72" i="21"/>
  <c r="AD72" i="21" s="1"/>
  <c r="AB70" i="21"/>
  <c r="AD70" i="21" s="1"/>
  <c r="AB69" i="21"/>
  <c r="AD69" i="21" s="1"/>
  <c r="M68" i="21"/>
  <c r="AB49" i="21"/>
  <c r="AD49" i="21" s="1"/>
  <c r="AB50" i="21"/>
  <c r="AD50" i="21" s="1"/>
  <c r="AB51" i="21"/>
  <c r="AD51" i="21" s="1"/>
  <c r="AB52" i="21"/>
  <c r="AD52" i="21" s="1"/>
  <c r="AB53" i="21"/>
  <c r="AD53" i="21" s="1"/>
  <c r="AB55" i="21"/>
  <c r="AD55" i="21" s="1"/>
  <c r="AB56" i="21"/>
  <c r="AD56" i="21" s="1"/>
  <c r="N57" i="21"/>
  <c r="O57" i="21"/>
  <c r="P57" i="21"/>
  <c r="Q57" i="21"/>
  <c r="R57" i="21"/>
  <c r="S57" i="21"/>
  <c r="T57" i="21"/>
  <c r="U57" i="21"/>
  <c r="V57" i="21"/>
  <c r="W57" i="21"/>
  <c r="X57" i="21"/>
  <c r="Y57" i="21"/>
  <c r="Z57" i="21"/>
  <c r="C35" i="21"/>
  <c r="J35" i="21" s="1"/>
  <c r="C36" i="21"/>
  <c r="J36" i="21" s="1"/>
  <c r="C40" i="21"/>
  <c r="J40" i="21" s="1"/>
  <c r="C41" i="21"/>
  <c r="J41" i="21" s="1"/>
  <c r="O32" i="21"/>
  <c r="P32" i="21"/>
  <c r="Q32" i="21"/>
  <c r="R32" i="21"/>
  <c r="S32" i="21"/>
  <c r="T32" i="21"/>
  <c r="U32" i="21"/>
  <c r="V32" i="21"/>
  <c r="W32" i="21"/>
  <c r="X32" i="21"/>
  <c r="Y32" i="21"/>
  <c r="Z32" i="21"/>
  <c r="C32" i="21"/>
  <c r="AC56" i="21" l="1"/>
  <c r="J57" i="21"/>
  <c r="L29" i="21"/>
  <c r="L25" i="21"/>
  <c r="L21" i="21"/>
  <c r="M21" i="21" s="1"/>
  <c r="AC21" i="21" s="1"/>
  <c r="L37" i="21"/>
  <c r="L43" i="21"/>
  <c r="L48" i="21"/>
  <c r="L51" i="21"/>
  <c r="M75" i="21"/>
  <c r="AC75" i="21" s="1"/>
  <c r="K75" i="21"/>
  <c r="M70" i="21"/>
  <c r="AC70" i="21" s="1"/>
  <c r="L28" i="21"/>
  <c r="L38" i="21"/>
  <c r="M38" i="21" s="1"/>
  <c r="L44" i="21"/>
  <c r="L41" i="21"/>
  <c r="M41" i="21" s="1"/>
  <c r="L55" i="21"/>
  <c r="L50" i="21"/>
  <c r="M50" i="21" s="1"/>
  <c r="AC50" i="21" s="1"/>
  <c r="M74" i="21"/>
  <c r="AC74" i="21" s="1"/>
  <c r="K74" i="21"/>
  <c r="M69" i="21"/>
  <c r="AC69" i="21" s="1"/>
  <c r="K69" i="21"/>
  <c r="L24" i="21"/>
  <c r="L19" i="21"/>
  <c r="L39" i="21"/>
  <c r="M39" i="21" s="1"/>
  <c r="L45" i="21"/>
  <c r="L53" i="21"/>
  <c r="M53" i="21" s="1"/>
  <c r="AC53" i="21" s="1"/>
  <c r="L49" i="21"/>
  <c r="M77" i="21"/>
  <c r="AC77" i="21" s="1"/>
  <c r="K77" i="21"/>
  <c r="M73" i="21"/>
  <c r="AC73" i="21" s="1"/>
  <c r="K73" i="21"/>
  <c r="L20" i="21"/>
  <c r="M20" i="21" s="1"/>
  <c r="AC20" i="21" s="1"/>
  <c r="L27" i="21"/>
  <c r="L23" i="21"/>
  <c r="L30" i="21"/>
  <c r="L26" i="21"/>
  <c r="M26" i="21" s="1"/>
  <c r="AC26" i="21" s="1"/>
  <c r="L22" i="21"/>
  <c r="L42" i="21"/>
  <c r="L46" i="21"/>
  <c r="M46" i="21" s="1"/>
  <c r="L36" i="21"/>
  <c r="L52" i="21"/>
  <c r="M52" i="21" s="1"/>
  <c r="AC52" i="21" s="1"/>
  <c r="M76" i="21"/>
  <c r="AC76" i="21" s="1"/>
  <c r="K76" i="21"/>
  <c r="L72" i="21"/>
  <c r="M72" i="21"/>
  <c r="AC72" i="21" s="1"/>
  <c r="L69" i="21"/>
  <c r="L74" i="21"/>
  <c r="L76" i="21"/>
  <c r="AB68" i="21"/>
  <c r="AD68" i="21" s="1"/>
  <c r="L68" i="21"/>
  <c r="L70" i="21"/>
  <c r="L73" i="21"/>
  <c r="L75" i="21"/>
  <c r="L77" i="21"/>
  <c r="C57" i="21"/>
  <c r="AC68" i="21" l="1"/>
  <c r="M48" i="21"/>
  <c r="M37" i="21"/>
  <c r="K32" i="21"/>
  <c r="M27" i="21"/>
  <c r="AC27" i="21" s="1"/>
  <c r="M28" i="21"/>
  <c r="AC28" i="21" s="1"/>
  <c r="M22" i="21"/>
  <c r="AC22" i="21" s="1"/>
  <c r="M19" i="21"/>
  <c r="AC19" i="21" s="1"/>
  <c r="M36" i="21"/>
  <c r="M42" i="21"/>
  <c r="M23" i="21"/>
  <c r="AC23" i="21" s="1"/>
  <c r="M49" i="21"/>
  <c r="AC49" i="21" s="1"/>
  <c r="M45" i="21"/>
  <c r="M24" i="21"/>
  <c r="AC24" i="21" s="1"/>
  <c r="M55" i="21"/>
  <c r="AC55" i="21" s="1"/>
  <c r="M44" i="21"/>
  <c r="M29" i="21"/>
  <c r="AC29" i="21" s="1"/>
  <c r="M30" i="21"/>
  <c r="AC30" i="21" s="1"/>
  <c r="M51" i="21"/>
  <c r="AC51" i="21" s="1"/>
  <c r="M43" i="21"/>
  <c r="M25" i="21"/>
  <c r="AC25" i="21" s="1"/>
  <c r="O76" i="20"/>
  <c r="AE76" i="20" s="1"/>
  <c r="C72" i="20"/>
  <c r="N49" i="20"/>
  <c r="O49" i="20" s="1"/>
  <c r="AE49" i="20" s="1"/>
  <c r="N50" i="20"/>
  <c r="O50" i="20" s="1"/>
  <c r="AE50" i="20" s="1"/>
  <c r="N51" i="20"/>
  <c r="O51" i="20" s="1"/>
  <c r="AE51" i="20" s="1"/>
  <c r="N52" i="20"/>
  <c r="O52" i="20" s="1"/>
  <c r="AE52" i="20" s="1"/>
  <c r="N53" i="20"/>
  <c r="O53" i="20" s="1"/>
  <c r="AE53" i="20" s="1"/>
  <c r="N55" i="20"/>
  <c r="O55" i="20" s="1"/>
  <c r="AE55" i="20" s="1"/>
  <c r="N56" i="20"/>
  <c r="O56" i="20" s="1"/>
  <c r="AE56" i="20" s="1"/>
  <c r="N57" i="20"/>
  <c r="O57" i="20" s="1"/>
  <c r="AE57" i="20" s="1"/>
  <c r="C48" i="20"/>
  <c r="C47" i="20"/>
  <c r="C45" i="20"/>
  <c r="C37" i="20"/>
  <c r="C36" i="20"/>
  <c r="C34" i="20"/>
  <c r="AD30" i="20"/>
  <c r="AF36" i="20" l="1"/>
  <c r="AF37" i="20"/>
  <c r="C77" i="20"/>
  <c r="C78" i="20" s="1"/>
  <c r="AF45" i="20"/>
  <c r="C58" i="20"/>
  <c r="AE30" i="20"/>
  <c r="N54" i="20"/>
  <c r="N46" i="20"/>
  <c r="O46" i="20" s="1"/>
  <c r="AE46" i="20" s="1"/>
  <c r="AF30" i="20"/>
  <c r="AF48" i="20" l="1"/>
  <c r="AF47" i="20"/>
  <c r="N48" i="20"/>
  <c r="N47" i="20"/>
  <c r="O47" i="20" s="1"/>
  <c r="AE47" i="20" s="1"/>
  <c r="AF34" i="20"/>
  <c r="L58" i="20"/>
  <c r="L77" i="20"/>
  <c r="L78" i="20" s="1"/>
  <c r="AF72" i="20"/>
  <c r="AF77" i="20" s="1"/>
  <c r="AF78" i="20" s="1"/>
  <c r="M77" i="20"/>
  <c r="M78" i="20" s="1"/>
  <c r="O54" i="20"/>
  <c r="AE54" i="20" s="1"/>
  <c r="C31" i="19"/>
  <c r="AC43" i="19"/>
  <c r="AE43" i="19" s="1"/>
  <c r="AC44" i="19"/>
  <c r="AE44" i="19" s="1"/>
  <c r="AC45" i="19"/>
  <c r="AE45" i="19" s="1"/>
  <c r="AC46" i="19"/>
  <c r="AE46" i="19" s="1"/>
  <c r="AC47" i="19"/>
  <c r="AE47" i="19" s="1"/>
  <c r="AC48" i="19"/>
  <c r="M43" i="19"/>
  <c r="N43" i="19" s="1"/>
  <c r="AD43" i="19" s="1"/>
  <c r="M44" i="19"/>
  <c r="N44" i="19" s="1"/>
  <c r="AD44" i="19" s="1"/>
  <c r="M45" i="19"/>
  <c r="N45" i="19" s="1"/>
  <c r="M46" i="19"/>
  <c r="N46" i="19" s="1"/>
  <c r="M47" i="19"/>
  <c r="N47" i="19" s="1"/>
  <c r="C39" i="19"/>
  <c r="K39" i="19" s="1"/>
  <c r="C37" i="19"/>
  <c r="K37" i="19" s="1"/>
  <c r="C35" i="19"/>
  <c r="K35" i="19" s="1"/>
  <c r="C34" i="19"/>
  <c r="K34" i="19" s="1"/>
  <c r="C33" i="19"/>
  <c r="AC54" i="19"/>
  <c r="AC53" i="19"/>
  <c r="AC52" i="19"/>
  <c r="AC21" i="19"/>
  <c r="AE21" i="19" s="1"/>
  <c r="AC22" i="19"/>
  <c r="AE22" i="19" s="1"/>
  <c r="AC23" i="19"/>
  <c r="AE23" i="19" s="1"/>
  <c r="AC24" i="19"/>
  <c r="AE24" i="19" s="1"/>
  <c r="AC25" i="19"/>
  <c r="AE25" i="19" s="1"/>
  <c r="AC26" i="19"/>
  <c r="AE26" i="19" s="1"/>
  <c r="AC27" i="19"/>
  <c r="AE27" i="19" s="1"/>
  <c r="AC28" i="19"/>
  <c r="AE28" i="19" s="1"/>
  <c r="AC29" i="19"/>
  <c r="AE29" i="19" s="1"/>
  <c r="AC30" i="19"/>
  <c r="AD47" i="19" l="1"/>
  <c r="L79" i="20"/>
  <c r="AF58" i="20"/>
  <c r="AE30" i="19"/>
  <c r="AD30" i="19"/>
  <c r="AD45" i="19"/>
  <c r="C49" i="19"/>
  <c r="K33" i="19"/>
  <c r="AE52" i="19"/>
  <c r="AC55" i="19"/>
  <c r="AD46" i="19"/>
  <c r="AD48" i="19"/>
  <c r="AE48" i="19"/>
  <c r="M58" i="20"/>
  <c r="M79" i="20" s="1"/>
  <c r="O48" i="20"/>
  <c r="AE48" i="20" s="1"/>
  <c r="O73" i="20"/>
  <c r="AE73" i="20" s="1"/>
  <c r="O74" i="20"/>
  <c r="AE74" i="20" s="1"/>
  <c r="O75" i="20"/>
  <c r="AE75" i="20" s="1"/>
  <c r="O72" i="20"/>
  <c r="AE54" i="19"/>
  <c r="AE53" i="19"/>
  <c r="M29" i="19"/>
  <c r="M28" i="19"/>
  <c r="M27" i="19"/>
  <c r="K49" i="19" l="1"/>
  <c r="K63" i="19" s="1"/>
  <c r="L49" i="19"/>
  <c r="L63" i="19" s="1"/>
  <c r="O77" i="20"/>
  <c r="O78" i="20" s="1"/>
  <c r="AE72" i="20"/>
  <c r="AE77" i="20" s="1"/>
  <c r="AE78" i="20" s="1"/>
  <c r="AE55" i="19"/>
  <c r="N27" i="19"/>
  <c r="AD27" i="19" s="1"/>
  <c r="N29" i="19"/>
  <c r="AD29" i="19" s="1"/>
  <c r="N28" i="19"/>
  <c r="AD28" i="19" s="1"/>
  <c r="M13" i="19"/>
  <c r="M14" i="19"/>
  <c r="M15" i="19"/>
  <c r="M16" i="19"/>
  <c r="N16" i="19" s="1"/>
  <c r="M17" i="19"/>
  <c r="N17" i="19" s="1"/>
  <c r="M18" i="19"/>
  <c r="N18" i="19" s="1"/>
  <c r="M19" i="19"/>
  <c r="N19" i="19" s="1"/>
  <c r="M20" i="19"/>
  <c r="N20" i="19" s="1"/>
  <c r="K35" i="18"/>
  <c r="AA35" i="18" s="1"/>
  <c r="K36" i="18"/>
  <c r="AA36" i="18" s="1"/>
  <c r="K37" i="18"/>
  <c r="AA37" i="18" s="1"/>
  <c r="K38" i="18"/>
  <c r="AA38" i="18" s="1"/>
  <c r="K40" i="18"/>
  <c r="AA40" i="18" s="1"/>
  <c r="K41" i="18"/>
  <c r="AA41" i="18" s="1"/>
  <c r="K42" i="18"/>
  <c r="AA42" i="18" s="1"/>
  <c r="K43" i="18"/>
  <c r="AA43" i="18" s="1"/>
  <c r="K44" i="18"/>
  <c r="AA44" i="18" s="1"/>
  <c r="K45" i="18"/>
  <c r="AA45" i="18" s="1"/>
  <c r="K47" i="18"/>
  <c r="AA47" i="18" s="1"/>
  <c r="K48" i="18"/>
  <c r="AA48" i="18" s="1"/>
  <c r="C46" i="18"/>
  <c r="C39" i="18"/>
  <c r="Z51" i="18"/>
  <c r="Y50" i="18"/>
  <c r="Z50" i="18" s="1"/>
  <c r="AB59" i="18"/>
  <c r="AB58" i="18"/>
  <c r="AB57" i="18"/>
  <c r="Z9" i="18"/>
  <c r="K23" i="18"/>
  <c r="AA23" i="18" s="1"/>
  <c r="K24" i="18"/>
  <c r="AA24" i="18" s="1"/>
  <c r="K26" i="18"/>
  <c r="AA26" i="18" s="1"/>
  <c r="K27" i="18"/>
  <c r="AA27" i="18" s="1"/>
  <c r="J9" i="18" l="1"/>
  <c r="AB9" i="18"/>
  <c r="AB32" i="18" s="1"/>
  <c r="I32" i="18"/>
  <c r="C49" i="18"/>
  <c r="C62" i="18" s="1"/>
  <c r="J46" i="18"/>
  <c r="AB46" i="18"/>
  <c r="K46" i="18"/>
  <c r="AA46" i="18" s="1"/>
  <c r="AB50" i="18"/>
  <c r="AA50" i="18"/>
  <c r="AB56" i="18"/>
  <c r="AB60" i="18" s="1"/>
  <c r="H60" i="18"/>
  <c r="H61" i="18" s="1"/>
  <c r="AB51" i="18"/>
  <c r="AA51" i="18"/>
  <c r="I56" i="18"/>
  <c r="J57" i="18"/>
  <c r="I57" i="18"/>
  <c r="K58" i="18"/>
  <c r="AA58" i="18" s="1"/>
  <c r="I58" i="18"/>
  <c r="J59" i="18"/>
  <c r="I59" i="18"/>
  <c r="J56" i="18"/>
  <c r="Y53" i="18"/>
  <c r="Y61" i="18" s="1"/>
  <c r="Y62" i="18" s="1"/>
  <c r="K57" i="18"/>
  <c r="AA57" i="18" s="1"/>
  <c r="J58" i="18"/>
  <c r="K59" i="18"/>
  <c r="AA59" i="18" s="1"/>
  <c r="M23" i="19"/>
  <c r="N23" i="19" s="1"/>
  <c r="AD23" i="19" s="1"/>
  <c r="M26" i="19"/>
  <c r="N26" i="19" s="1"/>
  <c r="AD26" i="19" s="1"/>
  <c r="M22" i="19"/>
  <c r="N22" i="19" s="1"/>
  <c r="AD22" i="19" s="1"/>
  <c r="M25" i="19"/>
  <c r="N25" i="19" s="1"/>
  <c r="AD25" i="19" s="1"/>
  <c r="M21" i="19"/>
  <c r="N21" i="19" s="1"/>
  <c r="AD21" i="19" s="1"/>
  <c r="M24" i="19"/>
  <c r="N24" i="19" s="1"/>
  <c r="AD24" i="19" s="1"/>
  <c r="K56" i="18"/>
  <c r="K29" i="18"/>
  <c r="AA29" i="18" s="1"/>
  <c r="K28" i="18"/>
  <c r="AA28" i="18" s="1"/>
  <c r="K30" i="18"/>
  <c r="AA30" i="18" s="1"/>
  <c r="K25" i="18"/>
  <c r="AA25" i="18" s="1"/>
  <c r="J60" i="18" l="1"/>
  <c r="J61" i="18" s="1"/>
  <c r="I60" i="18"/>
  <c r="I61" i="18" s="1"/>
  <c r="AB39" i="18"/>
  <c r="J39" i="18"/>
  <c r="J49" i="18" s="1"/>
  <c r="H49" i="18"/>
  <c r="AA56" i="18"/>
  <c r="AA60" i="18" s="1"/>
  <c r="AA61" i="18" s="1"/>
  <c r="K60" i="18"/>
  <c r="K61" i="18" s="1"/>
  <c r="K9" i="18"/>
  <c r="AA9" i="18" s="1"/>
  <c r="J32" i="18"/>
  <c r="AB53" i="18"/>
  <c r="AB61" i="18" s="1"/>
  <c r="Z53" i="18"/>
  <c r="Z61" i="18" s="1"/>
  <c r="AB62" i="18" l="1"/>
  <c r="I49" i="18"/>
  <c r="I62" i="18" s="1"/>
  <c r="K39" i="18"/>
  <c r="AA39" i="18" s="1"/>
  <c r="J62" i="18"/>
  <c r="AA48" i="17"/>
  <c r="AC48" i="17" s="1"/>
  <c r="AA33" i="17"/>
  <c r="K33" i="17"/>
  <c r="L56" i="17"/>
  <c r="K57" i="17"/>
  <c r="AC59" i="17"/>
  <c r="AB59" i="17"/>
  <c r="AA57" i="17"/>
  <c r="AC57" i="17" s="1"/>
  <c r="K48" i="17"/>
  <c r="L48" i="17" s="1"/>
  <c r="C43" i="17"/>
  <c r="I43" i="17" s="1"/>
  <c r="C41" i="17"/>
  <c r="I41" i="17" s="1"/>
  <c r="C40" i="17"/>
  <c r="I40" i="17" s="1"/>
  <c r="C38" i="17"/>
  <c r="I38" i="17" s="1"/>
  <c r="C34" i="17"/>
  <c r="AA21" i="17"/>
  <c r="AC21" i="17" s="1"/>
  <c r="AA22" i="17"/>
  <c r="AC22" i="17" s="1"/>
  <c r="AA23" i="17"/>
  <c r="AC23" i="17" s="1"/>
  <c r="AA24" i="17"/>
  <c r="AC24" i="17" s="1"/>
  <c r="AA25" i="17"/>
  <c r="AA26" i="17"/>
  <c r="AA27" i="17"/>
  <c r="AA28" i="17"/>
  <c r="AC28" i="17" s="1"/>
  <c r="AA29" i="17"/>
  <c r="K12" i="17"/>
  <c r="L12" i="17" s="1"/>
  <c r="K13" i="17"/>
  <c r="L13" i="17" s="1"/>
  <c r="K14" i="17"/>
  <c r="L14" i="17" s="1"/>
  <c r="K15" i="17"/>
  <c r="L15" i="17" s="1"/>
  <c r="K17" i="17"/>
  <c r="L17" i="17" s="1"/>
  <c r="K18" i="17"/>
  <c r="L18" i="17" s="1"/>
  <c r="K20" i="17"/>
  <c r="L20" i="17" s="1"/>
  <c r="K21" i="17"/>
  <c r="L21" i="17" s="1"/>
  <c r="AB21" i="17" s="1"/>
  <c r="K22" i="17"/>
  <c r="L22" i="17" s="1"/>
  <c r="AB22" i="17" s="1"/>
  <c r="K23" i="17"/>
  <c r="L23" i="17" s="1"/>
  <c r="AB23" i="17" s="1"/>
  <c r="K24" i="17"/>
  <c r="L24" i="17" s="1"/>
  <c r="AB24" i="17" s="1"/>
  <c r="K28" i="17"/>
  <c r="L28" i="17" s="1"/>
  <c r="AB28" i="17" s="1"/>
  <c r="C11" i="17"/>
  <c r="I11" i="17" s="1"/>
  <c r="C16" i="17"/>
  <c r="I16" i="17" s="1"/>
  <c r="C19" i="17"/>
  <c r="I19" i="17" s="1"/>
  <c r="C25" i="17"/>
  <c r="I25" i="17" s="1"/>
  <c r="C26" i="17"/>
  <c r="I26" i="17" s="1"/>
  <c r="C27" i="17"/>
  <c r="I27" i="17" s="1"/>
  <c r="C8" i="17"/>
  <c r="L33" i="17" l="1"/>
  <c r="I8" i="17"/>
  <c r="C30" i="17"/>
  <c r="I34" i="17"/>
  <c r="C51" i="17"/>
  <c r="AC33" i="17"/>
  <c r="AB48" i="17"/>
  <c r="AB33" i="17"/>
  <c r="AB29" i="17"/>
  <c r="AC29" i="17"/>
  <c r="L63" i="17"/>
  <c r="AB63" i="17" s="1"/>
  <c r="K63" i="17"/>
  <c r="L57" i="17"/>
  <c r="AB57" i="17" s="1"/>
  <c r="K56" i="17"/>
  <c r="K60" i="17"/>
  <c r="K64" i="17" s="1"/>
  <c r="L60" i="17"/>
  <c r="C66" i="17" l="1"/>
  <c r="AB60" i="17"/>
  <c r="AB64" i="17" s="1"/>
  <c r="L64" i="17"/>
  <c r="J51" i="17"/>
  <c r="I51" i="17"/>
  <c r="J30" i="17"/>
  <c r="I30" i="17"/>
  <c r="I66" i="17" s="1"/>
  <c r="AC27" i="17"/>
  <c r="K19" i="17"/>
  <c r="L19" i="17" s="1"/>
  <c r="K27" i="17"/>
  <c r="L27" i="17" s="1"/>
  <c r="AB27" i="17" s="1"/>
  <c r="K11" i="17"/>
  <c r="K16" i="17"/>
  <c r="AC26" i="17"/>
  <c r="AC25" i="17"/>
  <c r="K25" i="17"/>
  <c r="L25" i="17" s="1"/>
  <c r="AB25" i="17" s="1"/>
  <c r="K26" i="17"/>
  <c r="L26" i="17" s="1"/>
  <c r="AB26" i="17" s="1"/>
  <c r="J66" i="17" l="1"/>
  <c r="L16" i="17"/>
  <c r="L11" i="17"/>
  <c r="AA12" i="17"/>
  <c r="AA13" i="17"/>
  <c r="AB13" i="17" s="1"/>
  <c r="AA14" i="17"/>
  <c r="AA15" i="17"/>
  <c r="AA16" i="17"/>
  <c r="AC16" i="17" s="1"/>
  <c r="AA17" i="17"/>
  <c r="AA18" i="17"/>
  <c r="AA19" i="17"/>
  <c r="AC19" i="17" s="1"/>
  <c r="AA20" i="17"/>
  <c r="Z99" i="16"/>
  <c r="AB99" i="16" s="1"/>
  <c r="Z100" i="16"/>
  <c r="AB100" i="16" s="1"/>
  <c r="Z101" i="16"/>
  <c r="AB101" i="16" s="1"/>
  <c r="Z102" i="16"/>
  <c r="AB102" i="16" s="1"/>
  <c r="Z103" i="16"/>
  <c r="AB103" i="16" s="1"/>
  <c r="Z104" i="16"/>
  <c r="AB104" i="16" s="1"/>
  <c r="Z105" i="16"/>
  <c r="AB105" i="16" s="1"/>
  <c r="Z106" i="16"/>
  <c r="AB107" i="16"/>
  <c r="AB108" i="16"/>
  <c r="AB110" i="16"/>
  <c r="AB111" i="16"/>
  <c r="AB112" i="16"/>
  <c r="AB114" i="16"/>
  <c r="Z95" i="16"/>
  <c r="AB95" i="16" s="1"/>
  <c r="Z96" i="16"/>
  <c r="AB96" i="16" s="1"/>
  <c r="K114" i="16"/>
  <c r="AA114" i="16" s="1"/>
  <c r="K108" i="16"/>
  <c r="AA108" i="16" s="1"/>
  <c r="K111" i="16"/>
  <c r="AA111" i="16" s="1"/>
  <c r="C101" i="16"/>
  <c r="K110" i="16" l="1"/>
  <c r="AA110" i="16" s="1"/>
  <c r="AB115" i="16"/>
  <c r="AB106" i="16"/>
  <c r="Z116" i="16"/>
  <c r="AB19" i="17"/>
  <c r="AC12" i="17"/>
  <c r="AB12" i="17"/>
  <c r="AC17" i="17"/>
  <c r="AB17" i="17"/>
  <c r="AC13" i="17"/>
  <c r="AB16" i="17"/>
  <c r="AC20" i="17"/>
  <c r="AB20" i="17"/>
  <c r="AC15" i="17"/>
  <c r="AB15" i="17"/>
  <c r="AC18" i="17"/>
  <c r="AB18" i="17"/>
  <c r="AC14" i="17"/>
  <c r="AB14" i="17"/>
  <c r="K112" i="16"/>
  <c r="AA112" i="16" s="1"/>
  <c r="K107" i="16"/>
  <c r="AA107" i="16" s="1"/>
  <c r="AA11" i="17"/>
  <c r="AC11" i="17" s="1"/>
  <c r="AB116" i="16" l="1"/>
  <c r="AB11" i="17"/>
  <c r="Z70" i="16"/>
  <c r="Z71" i="16"/>
  <c r="Z74" i="16"/>
  <c r="Z73" i="16"/>
  <c r="Z72" i="16"/>
  <c r="Z60" i="16"/>
  <c r="Z44" i="16"/>
  <c r="Z43" i="16"/>
  <c r="Z42" i="16"/>
  <c r="Z41" i="16"/>
  <c r="Z40" i="16"/>
  <c r="Z39" i="16"/>
  <c r="Z38" i="16"/>
  <c r="Z37" i="16"/>
  <c r="Z36" i="16"/>
  <c r="Z35" i="16"/>
  <c r="Z34" i="16"/>
  <c r="Z33" i="16"/>
  <c r="Z9" i="16"/>
  <c r="AB9" i="16" s="1"/>
  <c r="Z10" i="16"/>
  <c r="Z11" i="16"/>
  <c r="AB11" i="16" s="1"/>
  <c r="Z13" i="16"/>
  <c r="AB13" i="16" s="1"/>
  <c r="Z14" i="16"/>
  <c r="AB14" i="16" s="1"/>
  <c r="Z15" i="16"/>
  <c r="Z16" i="16"/>
  <c r="AB16" i="16" s="1"/>
  <c r="Z17" i="16"/>
  <c r="AB17" i="16" s="1"/>
  <c r="Z18" i="16"/>
  <c r="AB18" i="16" s="1"/>
  <c r="Z19" i="16"/>
  <c r="AB19" i="16" s="1"/>
  <c r="Z20" i="16"/>
  <c r="AB20" i="16" s="1"/>
  <c r="Z21" i="16"/>
  <c r="AB21" i="16" s="1"/>
  <c r="Z22" i="16"/>
  <c r="AB22" i="16" s="1"/>
  <c r="Z23" i="16"/>
  <c r="AB23" i="16" s="1"/>
  <c r="Z24" i="16"/>
  <c r="AB24" i="16" s="1"/>
  <c r="Z25" i="16"/>
  <c r="AB25" i="16" s="1"/>
  <c r="Z26" i="16"/>
  <c r="AB26" i="16" s="1"/>
  <c r="Z27" i="16"/>
  <c r="AB27" i="16" s="1"/>
  <c r="Z28" i="16"/>
  <c r="AB28" i="16" s="1"/>
  <c r="Z29" i="16"/>
  <c r="AB29" i="16" s="1"/>
  <c r="K70" i="16"/>
  <c r="J73" i="16"/>
  <c r="J74" i="16"/>
  <c r="C45" i="16"/>
  <c r="C44" i="16"/>
  <c r="C38" i="16"/>
  <c r="C33" i="16"/>
  <c r="I30" i="16"/>
  <c r="L30" i="16"/>
  <c r="M30" i="16"/>
  <c r="N30" i="16"/>
  <c r="O30" i="16"/>
  <c r="P30" i="16"/>
  <c r="Q30" i="16"/>
  <c r="R30" i="16"/>
  <c r="R77" i="16" s="1"/>
  <c r="S30" i="16"/>
  <c r="S77" i="16" s="1"/>
  <c r="T30" i="16"/>
  <c r="T77" i="16" s="1"/>
  <c r="U30" i="16"/>
  <c r="U77" i="16" s="1"/>
  <c r="V30" i="16"/>
  <c r="W30" i="16"/>
  <c r="X30" i="16"/>
  <c r="X77" i="16" s="1"/>
  <c r="J8" i="16"/>
  <c r="K8" i="16" s="1"/>
  <c r="AA8" i="16" s="1"/>
  <c r="J25" i="16"/>
  <c r="K25" i="16" s="1"/>
  <c r="J26" i="16"/>
  <c r="K26" i="16" s="1"/>
  <c r="J27" i="16"/>
  <c r="K27" i="16" s="1"/>
  <c r="J28" i="16"/>
  <c r="K28" i="16" s="1"/>
  <c r="J29" i="16"/>
  <c r="K29" i="16" s="1"/>
  <c r="Z56" i="16" l="1"/>
  <c r="AB38" i="16"/>
  <c r="AB44" i="16"/>
  <c r="AB45" i="16"/>
  <c r="AA27" i="16"/>
  <c r="AA26" i="16"/>
  <c r="AB73" i="16"/>
  <c r="AB74" i="16"/>
  <c r="AB71" i="16"/>
  <c r="AA71" i="16"/>
  <c r="AB72" i="16"/>
  <c r="AB70" i="16"/>
  <c r="AA70" i="16"/>
  <c r="AB60" i="16"/>
  <c r="AA60" i="16"/>
  <c r="AB41" i="16"/>
  <c r="AA41" i="16"/>
  <c r="AA54" i="16"/>
  <c r="AB34" i="16"/>
  <c r="AA34" i="16"/>
  <c r="AB42" i="16"/>
  <c r="AA42" i="16"/>
  <c r="AA51" i="16"/>
  <c r="AA55" i="16"/>
  <c r="AB47" i="16"/>
  <c r="AA47" i="16"/>
  <c r="AB35" i="16"/>
  <c r="AA35" i="16"/>
  <c r="AB39" i="16"/>
  <c r="AA39" i="16"/>
  <c r="AB43" i="16"/>
  <c r="AA43" i="16"/>
  <c r="AA48" i="16"/>
  <c r="AA52" i="16"/>
  <c r="AB37" i="16"/>
  <c r="AA37" i="16"/>
  <c r="AA50" i="16"/>
  <c r="AB36" i="16"/>
  <c r="AA36" i="16"/>
  <c r="AB40" i="16"/>
  <c r="AA40" i="16"/>
  <c r="AA49" i="16"/>
  <c r="AA53" i="16"/>
  <c r="AA25" i="16"/>
  <c r="AA28" i="16"/>
  <c r="AB15" i="16"/>
  <c r="AB10" i="16"/>
  <c r="AA10" i="16"/>
  <c r="AA29" i="16"/>
  <c r="J45" i="16"/>
  <c r="K45" i="16" s="1"/>
  <c r="AA45" i="16" s="1"/>
  <c r="J38" i="16"/>
  <c r="K38" i="16" s="1"/>
  <c r="AA38" i="16" s="1"/>
  <c r="AB33" i="16"/>
  <c r="J44" i="16"/>
  <c r="Z59" i="16"/>
  <c r="J72" i="16"/>
  <c r="K74" i="16"/>
  <c r="AA74" i="16" s="1"/>
  <c r="K72" i="16"/>
  <c r="AA72" i="16" s="1"/>
  <c r="Z69" i="16"/>
  <c r="K73" i="16"/>
  <c r="AA73" i="16" s="1"/>
  <c r="J70" i="16"/>
  <c r="Y30" i="16"/>
  <c r="Y77" i="16" s="1"/>
  <c r="AB30" i="16" l="1"/>
  <c r="I77" i="16"/>
  <c r="H56" i="16"/>
  <c r="AB69" i="16"/>
  <c r="Z66" i="16"/>
  <c r="AB59" i="16"/>
  <c r="AB66" i="16" s="1"/>
  <c r="J33" i="16"/>
  <c r="J56" i="16" s="1"/>
  <c r="K44" i="16"/>
  <c r="AA44" i="16" s="1"/>
  <c r="Z75" i="16"/>
  <c r="W16" i="33"/>
  <c r="W17" i="33"/>
  <c r="W18" i="33"/>
  <c r="Y18" i="33" s="1"/>
  <c r="G18" i="33"/>
  <c r="H18" i="33" s="1"/>
  <c r="C17" i="33"/>
  <c r="C11" i="33"/>
  <c r="C12" i="33"/>
  <c r="C15" i="33"/>
  <c r="Z76" i="16" l="1"/>
  <c r="K33" i="16"/>
  <c r="G17" i="33"/>
  <c r="H17" i="33" s="1"/>
  <c r="X17" i="33" s="1"/>
  <c r="G16" i="33"/>
  <c r="H16" i="33" s="1"/>
  <c r="X16" i="33" s="1"/>
  <c r="Y17" i="33"/>
  <c r="X18" i="33"/>
  <c r="Y16" i="33"/>
  <c r="K69" i="16"/>
  <c r="AA69" i="16" s="1"/>
  <c r="J69" i="16"/>
  <c r="J75" i="16" s="1"/>
  <c r="H29" i="32"/>
  <c r="I29" i="32" s="1"/>
  <c r="H28" i="32"/>
  <c r="I28" i="32" s="1"/>
  <c r="H27" i="32"/>
  <c r="I27" i="32" s="1"/>
  <c r="X29" i="32"/>
  <c r="Z29" i="32" s="1"/>
  <c r="X28" i="32"/>
  <c r="Z28" i="32" s="1"/>
  <c r="X27" i="32"/>
  <c r="Z27" i="32" s="1"/>
  <c r="G30" i="32"/>
  <c r="J30" i="32"/>
  <c r="K30" i="32"/>
  <c r="L30" i="32"/>
  <c r="M30" i="32"/>
  <c r="N30" i="32"/>
  <c r="O30" i="32"/>
  <c r="P30" i="32"/>
  <c r="Q30" i="32"/>
  <c r="R30" i="32"/>
  <c r="S30" i="32"/>
  <c r="T30" i="32"/>
  <c r="U30" i="32"/>
  <c r="F25" i="32"/>
  <c r="X24" i="32"/>
  <c r="Z24" i="32" s="1"/>
  <c r="X14" i="32"/>
  <c r="X15" i="32"/>
  <c r="X16" i="32"/>
  <c r="X17" i="32"/>
  <c r="X18" i="32"/>
  <c r="X19" i="32"/>
  <c r="G25" i="32"/>
  <c r="J25" i="32"/>
  <c r="K25" i="32"/>
  <c r="K31" i="32" s="1"/>
  <c r="L25" i="32"/>
  <c r="M25" i="32"/>
  <c r="M31" i="32" s="1"/>
  <c r="N25" i="32"/>
  <c r="O25" i="32"/>
  <c r="O31" i="32" s="1"/>
  <c r="P25" i="32"/>
  <c r="Q25" i="32"/>
  <c r="Q31" i="32" s="1"/>
  <c r="R25" i="32"/>
  <c r="S25" i="32"/>
  <c r="S31" i="32" s="1"/>
  <c r="T25" i="32"/>
  <c r="U25" i="32"/>
  <c r="U31" i="32" s="1"/>
  <c r="V25" i="32"/>
  <c r="C25" i="32"/>
  <c r="C31" i="32" s="1"/>
  <c r="C14" i="32"/>
  <c r="F14" i="32" s="1"/>
  <c r="C12" i="32"/>
  <c r="F12" i="32" s="1"/>
  <c r="C11" i="32"/>
  <c r="K56" i="16" l="1"/>
  <c r="AA33" i="16"/>
  <c r="AA56" i="16" s="1"/>
  <c r="Z12" i="32"/>
  <c r="Z16" i="32"/>
  <c r="Y16" i="32"/>
  <c r="Y28" i="32"/>
  <c r="Z18" i="32"/>
  <c r="Y18" i="32"/>
  <c r="Z14" i="32"/>
  <c r="Z19" i="32"/>
  <c r="Y19" i="32"/>
  <c r="Z15" i="32"/>
  <c r="Y15" i="32"/>
  <c r="Y29" i="32"/>
  <c r="F19" i="33"/>
  <c r="R31" i="32"/>
  <c r="N31" i="32"/>
  <c r="J31" i="32"/>
  <c r="Z17" i="32"/>
  <c r="Y17" i="32"/>
  <c r="Y23" i="32"/>
  <c r="Z23" i="32"/>
  <c r="Y27" i="32"/>
  <c r="K75" i="16"/>
  <c r="AA75" i="16"/>
  <c r="F11" i="32"/>
  <c r="C20" i="32"/>
  <c r="C32" i="32" s="1"/>
  <c r="V31" i="32"/>
  <c r="G31" i="32"/>
  <c r="T31" i="32"/>
  <c r="P31" i="32"/>
  <c r="L31" i="32"/>
  <c r="E19" i="33"/>
  <c r="I30" i="32"/>
  <c r="H24" i="32"/>
  <c r="H30" i="32"/>
  <c r="F30" i="32"/>
  <c r="F31" i="32" s="1"/>
  <c r="X30" i="32"/>
  <c r="X25" i="32"/>
  <c r="W25" i="32"/>
  <c r="Z11" i="32" l="1"/>
  <c r="G20" i="32"/>
  <c r="F20" i="32"/>
  <c r="W31" i="32"/>
  <c r="Z25" i="32"/>
  <c r="H25" i="32"/>
  <c r="H31" i="32" s="1"/>
  <c r="Y24" i="32"/>
  <c r="X31" i="32"/>
  <c r="Y30" i="32"/>
  <c r="Z30" i="32"/>
  <c r="Z31" i="32" l="1"/>
  <c r="I25" i="32"/>
  <c r="I31" i="32" s="1"/>
  <c r="Y25" i="32"/>
  <c r="Y31" i="32" s="1"/>
  <c r="AB22" i="31" l="1"/>
  <c r="AB26" i="31" s="1"/>
  <c r="C22" i="31"/>
  <c r="C26" i="31" s="1"/>
  <c r="Z14" i="31"/>
  <c r="Z15" i="31"/>
  <c r="AB15" i="31" s="1"/>
  <c r="Z16" i="31"/>
  <c r="H10" i="31"/>
  <c r="K10" i="31" s="1"/>
  <c r="H13" i="31"/>
  <c r="K13" i="31" s="1"/>
  <c r="H15" i="31"/>
  <c r="K15" i="31" s="1"/>
  <c r="AA15" i="31" s="1"/>
  <c r="I17" i="31"/>
  <c r="I27" i="31" s="1"/>
  <c r="J17" i="31"/>
  <c r="J27" i="31" s="1"/>
  <c r="L17" i="31"/>
  <c r="L27" i="31" s="1"/>
  <c r="M17" i="31"/>
  <c r="M27" i="31" s="1"/>
  <c r="N17" i="31"/>
  <c r="N27" i="31" s="1"/>
  <c r="O17" i="31"/>
  <c r="O27" i="31" s="1"/>
  <c r="P17" i="31"/>
  <c r="P27" i="31" s="1"/>
  <c r="Q17" i="31"/>
  <c r="Q27" i="31" s="1"/>
  <c r="R17" i="31"/>
  <c r="R27" i="31" s="1"/>
  <c r="S17" i="31"/>
  <c r="S27" i="31" s="1"/>
  <c r="T17" i="31"/>
  <c r="T27" i="31" s="1"/>
  <c r="U17" i="31"/>
  <c r="U27" i="31" s="1"/>
  <c r="V17" i="31"/>
  <c r="V27" i="31" s="1"/>
  <c r="W17" i="31"/>
  <c r="W27" i="31" s="1"/>
  <c r="X17" i="31"/>
  <c r="X27" i="31" s="1"/>
  <c r="C16" i="31"/>
  <c r="C14" i="31"/>
  <c r="C12" i="31"/>
  <c r="C9" i="31"/>
  <c r="F14" i="31" l="1"/>
  <c r="F9" i="31"/>
  <c r="F12" i="31"/>
  <c r="F16" i="31"/>
  <c r="C17" i="31"/>
  <c r="C27" i="31" s="1"/>
  <c r="H11" i="31"/>
  <c r="K11" i="31" s="1"/>
  <c r="J31" i="30"/>
  <c r="M31" i="30" s="1"/>
  <c r="I32" i="30"/>
  <c r="I36" i="30" s="1"/>
  <c r="K32" i="30"/>
  <c r="K36" i="30" s="1"/>
  <c r="L32" i="30"/>
  <c r="L36" i="30" s="1"/>
  <c r="N32" i="30"/>
  <c r="N36" i="30" s="1"/>
  <c r="O32" i="30"/>
  <c r="O36" i="30" s="1"/>
  <c r="P32" i="30"/>
  <c r="P36" i="30" s="1"/>
  <c r="Q32" i="30"/>
  <c r="Q36" i="30" s="1"/>
  <c r="R32" i="30"/>
  <c r="R36" i="30" s="1"/>
  <c r="S32" i="30"/>
  <c r="S36" i="30" s="1"/>
  <c r="T32" i="30"/>
  <c r="T36" i="30" s="1"/>
  <c r="U32" i="30"/>
  <c r="U36" i="30" s="1"/>
  <c r="V36" i="30"/>
  <c r="W32" i="30"/>
  <c r="W36" i="30" s="1"/>
  <c r="X32" i="30"/>
  <c r="X36" i="30" s="1"/>
  <c r="Y32" i="30"/>
  <c r="Y36" i="30" s="1"/>
  <c r="Z32" i="30"/>
  <c r="Z36" i="30" s="1"/>
  <c r="AB31" i="30"/>
  <c r="AD31" i="30" s="1"/>
  <c r="AA32" i="30"/>
  <c r="AA36" i="30" s="1"/>
  <c r="J17" i="30"/>
  <c r="M17" i="30" s="1"/>
  <c r="J21" i="30"/>
  <c r="M21" i="30" s="1"/>
  <c r="AC21" i="30" s="1"/>
  <c r="J22" i="30"/>
  <c r="M22" i="30" s="1"/>
  <c r="J23" i="30"/>
  <c r="M23" i="30" s="1"/>
  <c r="J24" i="30"/>
  <c r="M24" i="30" s="1"/>
  <c r="AB17" i="30"/>
  <c r="AD17" i="30" s="1"/>
  <c r="AB18" i="30"/>
  <c r="AB22" i="30"/>
  <c r="AD22" i="30" s="1"/>
  <c r="AB23" i="30"/>
  <c r="AD23" i="30" s="1"/>
  <c r="AB24" i="30"/>
  <c r="AD24" i="30" s="1"/>
  <c r="AB25" i="30"/>
  <c r="AB26" i="30"/>
  <c r="K27" i="30"/>
  <c r="L27" i="30"/>
  <c r="N27" i="30"/>
  <c r="N37" i="30" s="1"/>
  <c r="O27" i="30"/>
  <c r="O37" i="30" s="1"/>
  <c r="P27" i="30"/>
  <c r="P37" i="30" s="1"/>
  <c r="Q27" i="30"/>
  <c r="Q37" i="30" s="1"/>
  <c r="R27" i="30"/>
  <c r="R37" i="30" s="1"/>
  <c r="S27" i="30"/>
  <c r="S37" i="30" s="1"/>
  <c r="T27" i="30"/>
  <c r="T37" i="30" s="1"/>
  <c r="U27" i="30"/>
  <c r="U37" i="30" s="1"/>
  <c r="V27" i="30"/>
  <c r="W27" i="30"/>
  <c r="W37" i="30" s="1"/>
  <c r="X27" i="30"/>
  <c r="X37" i="30" s="1"/>
  <c r="Y27" i="30"/>
  <c r="Y37" i="30" s="1"/>
  <c r="Z27" i="30"/>
  <c r="C25" i="30"/>
  <c r="C18" i="30"/>
  <c r="C16" i="30"/>
  <c r="C12" i="30"/>
  <c r="C8" i="30"/>
  <c r="V37" i="30" l="1"/>
  <c r="Z37" i="30"/>
  <c r="AC23" i="30"/>
  <c r="AB14" i="31"/>
  <c r="G17" i="31"/>
  <c r="G27" i="31" s="1"/>
  <c r="AB16" i="31"/>
  <c r="AC26" i="30"/>
  <c r="AD26" i="30"/>
  <c r="K37" i="30"/>
  <c r="AC22" i="30"/>
  <c r="AC31" i="30"/>
  <c r="J25" i="30"/>
  <c r="AC24" i="30"/>
  <c r="AC17" i="30"/>
  <c r="L37" i="30"/>
  <c r="F17" i="31"/>
  <c r="F27" i="31" s="1"/>
  <c r="H16" i="31"/>
  <c r="H9" i="31"/>
  <c r="K9" i="31" s="1"/>
  <c r="H12" i="31"/>
  <c r="K12" i="31" s="1"/>
  <c r="H14" i="31"/>
  <c r="AB30" i="30"/>
  <c r="J32" i="30"/>
  <c r="J36" i="30" s="1"/>
  <c r="M32" i="30"/>
  <c r="M36" i="30" s="1"/>
  <c r="C27" i="30"/>
  <c r="C37" i="30" s="1"/>
  <c r="H27" i="30" l="1"/>
  <c r="H37" i="30" s="1"/>
  <c r="K16" i="31"/>
  <c r="AA16" i="31" s="1"/>
  <c r="K14" i="31"/>
  <c r="AA14" i="31" s="1"/>
  <c r="AB32" i="30"/>
  <c r="AB36" i="30" s="1"/>
  <c r="AD30" i="30"/>
  <c r="AC30" i="30"/>
  <c r="AC32" i="30" s="1"/>
  <c r="AC36" i="30" s="1"/>
  <c r="AD25" i="30"/>
  <c r="M25" i="30"/>
  <c r="AC25" i="30" s="1"/>
  <c r="AD18" i="30"/>
  <c r="I27" i="30"/>
  <c r="I37" i="30" s="1"/>
  <c r="J18" i="30"/>
  <c r="AD32" i="30"/>
  <c r="AD36" i="30" s="1"/>
  <c r="M18" i="30" l="1"/>
  <c r="AC18" i="30" s="1"/>
  <c r="J52" i="15"/>
  <c r="Y52" i="15"/>
  <c r="P53" i="15"/>
  <c r="W53" i="15"/>
  <c r="C29" i="15"/>
  <c r="C53" i="15" s="1"/>
  <c r="Y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I11" i="15"/>
  <c r="J11" i="15" s="1"/>
  <c r="I12" i="15"/>
  <c r="J12" i="15" s="1"/>
  <c r="I13" i="15"/>
  <c r="J13" i="15" s="1"/>
  <c r="I14" i="15"/>
  <c r="J14" i="15" s="1"/>
  <c r="I17" i="15"/>
  <c r="J17" i="15" s="1"/>
  <c r="I20" i="15"/>
  <c r="J20" i="15" s="1"/>
  <c r="I21" i="15"/>
  <c r="J21" i="15" s="1"/>
  <c r="I22" i="15"/>
  <c r="J22" i="15" s="1"/>
  <c r="I23" i="15"/>
  <c r="J23" i="15" s="1"/>
  <c r="I24" i="15"/>
  <c r="J24" i="15" s="1"/>
  <c r="C10" i="15"/>
  <c r="C15" i="15"/>
  <c r="C16" i="15"/>
  <c r="G16" i="15" s="1"/>
  <c r="C19" i="15"/>
  <c r="K25" i="15"/>
  <c r="K54" i="15" s="1"/>
  <c r="L25" i="15"/>
  <c r="L54" i="15" s="1"/>
  <c r="M25" i="15"/>
  <c r="M54" i="15" s="1"/>
  <c r="N25" i="15"/>
  <c r="N54" i="15" s="1"/>
  <c r="O25" i="15"/>
  <c r="O54" i="15" s="1"/>
  <c r="P25" i="15"/>
  <c r="Q25" i="15"/>
  <c r="Q54" i="15" s="1"/>
  <c r="R25" i="15"/>
  <c r="R54" i="15" s="1"/>
  <c r="S25" i="15"/>
  <c r="S54" i="15" s="1"/>
  <c r="T25" i="15"/>
  <c r="T54" i="15" s="1"/>
  <c r="U25" i="15"/>
  <c r="U54" i="15" s="1"/>
  <c r="V25" i="15"/>
  <c r="V54" i="15" s="1"/>
  <c r="W25" i="15"/>
  <c r="W54" i="15" l="1"/>
  <c r="P54" i="15"/>
  <c r="G15" i="15"/>
  <c r="G10" i="15"/>
  <c r="G29" i="15"/>
  <c r="G19" i="15"/>
  <c r="C25" i="15"/>
  <c r="Z22" i="15"/>
  <c r="AA23" i="15"/>
  <c r="I16" i="15"/>
  <c r="J16" i="15" s="1"/>
  <c r="Z16" i="15" s="1"/>
  <c r="Z12" i="15"/>
  <c r="AA18" i="15"/>
  <c r="I18" i="15"/>
  <c r="J18" i="15" s="1"/>
  <c r="Z18" i="15" s="1"/>
  <c r="AA22" i="15"/>
  <c r="AA17" i="15"/>
  <c r="Z20" i="15"/>
  <c r="Z14" i="15"/>
  <c r="Z24" i="15"/>
  <c r="AA21" i="15"/>
  <c r="AA13" i="15"/>
  <c r="Z23" i="15"/>
  <c r="Z17" i="15"/>
  <c r="AA20" i="15"/>
  <c r="AA14" i="15"/>
  <c r="AA24" i="15"/>
  <c r="AA12" i="15"/>
  <c r="Z21" i="15"/>
  <c r="Z13" i="15"/>
  <c r="G25" i="15" l="1"/>
  <c r="G53" i="15"/>
  <c r="H29" i="15"/>
  <c r="H53" i="15" s="1"/>
  <c r="J29" i="15"/>
  <c r="J53" i="15" s="1"/>
  <c r="I29" i="15"/>
  <c r="AA52" i="15"/>
  <c r="Z52" i="15"/>
  <c r="C54" i="15"/>
  <c r="AA19" i="15"/>
  <c r="H25" i="15"/>
  <c r="I10" i="15"/>
  <c r="AA15" i="15"/>
  <c r="I19" i="15"/>
  <c r="J19" i="15" s="1"/>
  <c r="Z19" i="15" s="1"/>
  <c r="I15" i="15"/>
  <c r="J15" i="15" s="1"/>
  <c r="Z15" i="15" s="1"/>
  <c r="AA16" i="15"/>
  <c r="Y10" i="15"/>
  <c r="Y11" i="15"/>
  <c r="AA11" i="15" s="1"/>
  <c r="Y28" i="15"/>
  <c r="Y29" i="15"/>
  <c r="AA29" i="15" s="1"/>
  <c r="Y30" i="15"/>
  <c r="AA30" i="15" s="1"/>
  <c r="Y31" i="15"/>
  <c r="AA31" i="15" s="1"/>
  <c r="Y32" i="15"/>
  <c r="AA32" i="15" s="1"/>
  <c r="I34" i="14"/>
  <c r="J34" i="14" s="1"/>
  <c r="Z34" i="14" s="1"/>
  <c r="J50" i="14"/>
  <c r="Z50" i="14" s="1"/>
  <c r="I54" i="14"/>
  <c r="J54" i="14"/>
  <c r="Z54" i="14" s="1"/>
  <c r="J53" i="14"/>
  <c r="Z53" i="14" s="1"/>
  <c r="I50" i="14"/>
  <c r="K55" i="14"/>
  <c r="L55" i="14"/>
  <c r="M55" i="14"/>
  <c r="N55" i="14"/>
  <c r="O55" i="14"/>
  <c r="P55" i="14"/>
  <c r="Q55" i="14"/>
  <c r="R55" i="14"/>
  <c r="S55" i="14"/>
  <c r="T55" i="14"/>
  <c r="U55" i="14"/>
  <c r="V55" i="14"/>
  <c r="W55" i="14"/>
  <c r="C52" i="14"/>
  <c r="G52" i="14" s="1"/>
  <c r="L35" i="14"/>
  <c r="M35" i="14"/>
  <c r="N35" i="14"/>
  <c r="O35" i="14"/>
  <c r="P35" i="14"/>
  <c r="Q35" i="14"/>
  <c r="R35" i="14"/>
  <c r="S35" i="14"/>
  <c r="T35" i="14"/>
  <c r="U35" i="14"/>
  <c r="V35" i="14"/>
  <c r="W35" i="14"/>
  <c r="C22" i="14"/>
  <c r="G22" i="14" s="1"/>
  <c r="C19" i="14"/>
  <c r="G19" i="14" s="1"/>
  <c r="C18" i="14"/>
  <c r="G18" i="14" s="1"/>
  <c r="C17" i="14"/>
  <c r="G17" i="14" s="1"/>
  <c r="C15" i="14"/>
  <c r="G15" i="14" s="1"/>
  <c r="C11" i="14"/>
  <c r="G11" i="14" s="1"/>
  <c r="C10" i="14"/>
  <c r="G10" i="14" s="1"/>
  <c r="AA52" i="14" l="1"/>
  <c r="AA55" i="14" s="1"/>
  <c r="H52" i="14"/>
  <c r="H55" i="14" s="1"/>
  <c r="Y43" i="15"/>
  <c r="G54" i="15"/>
  <c r="H54" i="15"/>
  <c r="I53" i="15"/>
  <c r="AA22" i="14"/>
  <c r="I22" i="14"/>
  <c r="AA18" i="14"/>
  <c r="I18" i="14"/>
  <c r="J18" i="14" s="1"/>
  <c r="Z18" i="14" s="1"/>
  <c r="J10" i="15"/>
  <c r="Z10" i="15" s="1"/>
  <c r="AA15" i="14"/>
  <c r="I15" i="14"/>
  <c r="J15" i="14" s="1"/>
  <c r="Z15" i="14" s="1"/>
  <c r="AA10" i="14"/>
  <c r="I10" i="14"/>
  <c r="AA11" i="14"/>
  <c r="I11" i="14"/>
  <c r="J11" i="14" s="1"/>
  <c r="Z11" i="14" s="1"/>
  <c r="AA19" i="14"/>
  <c r="I19" i="14"/>
  <c r="J19" i="14" s="1"/>
  <c r="Z19" i="14" s="1"/>
  <c r="I17" i="14"/>
  <c r="J17" i="14" s="1"/>
  <c r="Z17" i="14" s="1"/>
  <c r="C35" i="14"/>
  <c r="C55" i="14"/>
  <c r="I52" i="14"/>
  <c r="J52" i="14"/>
  <c r="Z52" i="14" s="1"/>
  <c r="I51" i="14"/>
  <c r="J51" i="14"/>
  <c r="Z51" i="14" s="1"/>
  <c r="G55" i="14"/>
  <c r="I53" i="14"/>
  <c r="X53" i="15"/>
  <c r="AA43" i="15"/>
  <c r="AA10" i="15"/>
  <c r="Z32" i="15"/>
  <c r="Z30" i="15"/>
  <c r="Z28" i="15"/>
  <c r="Z31" i="15"/>
  <c r="Z11" i="15"/>
  <c r="Z29" i="15"/>
  <c r="Z47" i="14"/>
  <c r="Z43" i="15" l="1"/>
  <c r="Z53" i="15" s="1"/>
  <c r="Y53" i="15"/>
  <c r="H35" i="14"/>
  <c r="J22" i="14"/>
  <c r="Z22" i="14" s="1"/>
  <c r="J10" i="14"/>
  <c r="Z10" i="14" s="1"/>
  <c r="Y47" i="14"/>
  <c r="AA47" i="14"/>
  <c r="AA56" i="14" s="1"/>
  <c r="AA53" i="15"/>
  <c r="W11" i="42"/>
  <c r="W12" i="42"/>
  <c r="W13" i="42"/>
  <c r="W14" i="42"/>
  <c r="W15" i="42"/>
  <c r="W16" i="42"/>
  <c r="W17" i="42"/>
  <c r="W18" i="42"/>
  <c r="W19" i="42"/>
  <c r="W20" i="42"/>
  <c r="W21" i="42"/>
  <c r="W22" i="42"/>
  <c r="W23" i="42"/>
  <c r="W24" i="42"/>
  <c r="W25" i="42"/>
  <c r="W26" i="42"/>
  <c r="W27" i="42"/>
  <c r="W28" i="42"/>
  <c r="W29" i="42"/>
  <c r="W30" i="42"/>
  <c r="W31" i="42"/>
  <c r="W32" i="42"/>
  <c r="W33" i="42"/>
  <c r="W34" i="42"/>
  <c r="W35" i="42"/>
  <c r="W36" i="42"/>
  <c r="W37" i="42"/>
  <c r="W38" i="42"/>
  <c r="W39" i="42"/>
  <c r="W40" i="42"/>
  <c r="W41" i="42"/>
  <c r="W42" i="42"/>
  <c r="W43" i="42"/>
  <c r="W44" i="42"/>
  <c r="W45" i="42"/>
  <c r="W46" i="42"/>
  <c r="W47" i="42"/>
  <c r="W48" i="42"/>
  <c r="W49" i="42"/>
  <c r="W50" i="42"/>
  <c r="W51" i="42"/>
  <c r="W52" i="42"/>
  <c r="W53" i="42"/>
  <c r="W54" i="42"/>
  <c r="W55" i="42"/>
  <c r="W56" i="42"/>
  <c r="W57" i="42"/>
  <c r="W58" i="42"/>
  <c r="W59" i="42"/>
  <c r="W60" i="42"/>
  <c r="W61" i="42"/>
  <c r="W62" i="42"/>
  <c r="W104" i="42"/>
  <c r="W105" i="42"/>
  <c r="W106" i="42"/>
  <c r="W107" i="42"/>
  <c r="W108" i="42"/>
  <c r="W109" i="42"/>
  <c r="W110" i="42"/>
  <c r="W111" i="42"/>
  <c r="X7" i="42"/>
  <c r="Y56" i="13"/>
  <c r="Y60" i="13" s="1"/>
  <c r="Y61" i="13" s="1"/>
  <c r="I56" i="13"/>
  <c r="I60" i="13" s="1"/>
  <c r="I61" i="13" s="1"/>
  <c r="W112" i="42" l="1"/>
  <c r="W113" i="42" s="1"/>
  <c r="G111" i="42"/>
  <c r="H111" i="42" s="1"/>
  <c r="G107" i="42"/>
  <c r="H107" i="42" s="1"/>
  <c r="X107" i="42" s="1"/>
  <c r="G103" i="42"/>
  <c r="G60" i="42"/>
  <c r="H60" i="42" s="1"/>
  <c r="G56" i="42"/>
  <c r="H56" i="42" s="1"/>
  <c r="X56" i="42" s="1"/>
  <c r="G52" i="42"/>
  <c r="H52" i="42" s="1"/>
  <c r="G48" i="42"/>
  <c r="H48" i="42" s="1"/>
  <c r="G44" i="42"/>
  <c r="H44" i="42" s="1"/>
  <c r="G40" i="42"/>
  <c r="H40" i="42" s="1"/>
  <c r="X40" i="42" s="1"/>
  <c r="G36" i="42"/>
  <c r="H36" i="42" s="1"/>
  <c r="G32" i="42"/>
  <c r="H32" i="42" s="1"/>
  <c r="G28" i="42"/>
  <c r="H28" i="42" s="1"/>
  <c r="G24" i="42"/>
  <c r="H24" i="42" s="1"/>
  <c r="X24" i="42" s="1"/>
  <c r="G20" i="42"/>
  <c r="H20" i="42" s="1"/>
  <c r="G16" i="42"/>
  <c r="H16" i="42" s="1"/>
  <c r="G12" i="42"/>
  <c r="H12" i="42" s="1"/>
  <c r="X12" i="42" s="1"/>
  <c r="G110" i="42"/>
  <c r="H110" i="42" s="1"/>
  <c r="X110" i="42" s="1"/>
  <c r="G106" i="42"/>
  <c r="H106" i="42" s="1"/>
  <c r="X106" i="42" s="1"/>
  <c r="G102" i="42"/>
  <c r="G59" i="42"/>
  <c r="H59" i="42" s="1"/>
  <c r="X59" i="42" s="1"/>
  <c r="G55" i="42"/>
  <c r="H55" i="42" s="1"/>
  <c r="X55" i="42" s="1"/>
  <c r="G51" i="42"/>
  <c r="H51" i="42" s="1"/>
  <c r="G47" i="42"/>
  <c r="H47" i="42" s="1"/>
  <c r="X47" i="42" s="1"/>
  <c r="G43" i="42"/>
  <c r="H43" i="42" s="1"/>
  <c r="X43" i="42" s="1"/>
  <c r="G39" i="42"/>
  <c r="H39" i="42" s="1"/>
  <c r="X39" i="42" s="1"/>
  <c r="G35" i="42"/>
  <c r="H35" i="42" s="1"/>
  <c r="G31" i="42"/>
  <c r="H31" i="42" s="1"/>
  <c r="X31" i="42" s="1"/>
  <c r="G27" i="42"/>
  <c r="H27" i="42" s="1"/>
  <c r="X27" i="42" s="1"/>
  <c r="G23" i="42"/>
  <c r="H23" i="42" s="1"/>
  <c r="X23" i="42" s="1"/>
  <c r="G19" i="42"/>
  <c r="H19" i="42" s="1"/>
  <c r="G15" i="42"/>
  <c r="H15" i="42" s="1"/>
  <c r="X15" i="42" s="1"/>
  <c r="G109" i="42"/>
  <c r="H109" i="42" s="1"/>
  <c r="X109" i="42" s="1"/>
  <c r="G105" i="42"/>
  <c r="H105" i="42" s="1"/>
  <c r="X105" i="42" s="1"/>
  <c r="G101" i="42"/>
  <c r="G62" i="42"/>
  <c r="H62" i="42" s="1"/>
  <c r="X62" i="42" s="1"/>
  <c r="G58" i="42"/>
  <c r="H58" i="42" s="1"/>
  <c r="X58" i="42" s="1"/>
  <c r="G54" i="42"/>
  <c r="H54" i="42" s="1"/>
  <c r="X54" i="42" s="1"/>
  <c r="G50" i="42"/>
  <c r="H50" i="42" s="1"/>
  <c r="X50" i="42" s="1"/>
  <c r="G46" i="42"/>
  <c r="H46" i="42" s="1"/>
  <c r="X46" i="42" s="1"/>
  <c r="G42" i="42"/>
  <c r="H42" i="42" s="1"/>
  <c r="X42" i="42" s="1"/>
  <c r="G38" i="42"/>
  <c r="H38" i="42" s="1"/>
  <c r="X38" i="42" s="1"/>
  <c r="G34" i="42"/>
  <c r="H34" i="42" s="1"/>
  <c r="G30" i="42"/>
  <c r="H30" i="42" s="1"/>
  <c r="X30" i="42" s="1"/>
  <c r="G26" i="42"/>
  <c r="H26" i="42" s="1"/>
  <c r="X26" i="42" s="1"/>
  <c r="G22" i="42"/>
  <c r="H22" i="42" s="1"/>
  <c r="X22" i="42" s="1"/>
  <c r="G18" i="42"/>
  <c r="H18" i="42" s="1"/>
  <c r="G14" i="42"/>
  <c r="H14" i="42" s="1"/>
  <c r="X14" i="42" s="1"/>
  <c r="G11" i="42"/>
  <c r="G108" i="42"/>
  <c r="G104" i="42"/>
  <c r="G61" i="42"/>
  <c r="H61" i="42" s="1"/>
  <c r="G57" i="42"/>
  <c r="H57" i="42" s="1"/>
  <c r="X57" i="42" s="1"/>
  <c r="G53" i="42"/>
  <c r="H53" i="42" s="1"/>
  <c r="G49" i="42"/>
  <c r="H49" i="42" s="1"/>
  <c r="X49" i="42" s="1"/>
  <c r="G45" i="42"/>
  <c r="H45" i="42" s="1"/>
  <c r="G41" i="42"/>
  <c r="G37" i="42"/>
  <c r="H37" i="42" s="1"/>
  <c r="G33" i="42"/>
  <c r="H33" i="42" s="1"/>
  <c r="X33" i="42" s="1"/>
  <c r="G29" i="42"/>
  <c r="H29" i="42" s="1"/>
  <c r="G25" i="42"/>
  <c r="G21" i="42"/>
  <c r="H21" i="42" s="1"/>
  <c r="G17" i="42"/>
  <c r="H17" i="42" s="1"/>
  <c r="X17" i="42" s="1"/>
  <c r="G13" i="42"/>
  <c r="H13" i="42" s="1"/>
  <c r="Y111" i="42"/>
  <c r="Y110" i="42"/>
  <c r="Y109" i="42"/>
  <c r="Y108" i="42"/>
  <c r="Y107" i="42"/>
  <c r="Y106" i="42"/>
  <c r="Y105" i="42"/>
  <c r="Y104" i="42"/>
  <c r="Y62" i="42"/>
  <c r="Y61" i="42"/>
  <c r="Y60" i="42"/>
  <c r="Y59" i="42"/>
  <c r="Y58" i="42"/>
  <c r="Y57" i="42"/>
  <c r="Y56" i="42"/>
  <c r="Y55" i="42"/>
  <c r="Y54" i="42"/>
  <c r="Y53" i="42"/>
  <c r="Y52" i="42"/>
  <c r="Y51" i="42"/>
  <c r="Y50" i="42"/>
  <c r="Y49" i="42"/>
  <c r="Y48" i="42"/>
  <c r="Y47" i="42"/>
  <c r="Y46" i="42"/>
  <c r="Y45" i="42"/>
  <c r="Y44" i="42"/>
  <c r="Y43" i="42"/>
  <c r="Y42" i="42"/>
  <c r="Y41" i="42"/>
  <c r="Y40" i="42"/>
  <c r="Y39" i="42"/>
  <c r="Y38" i="42"/>
  <c r="Y37" i="42"/>
  <c r="Y36" i="42"/>
  <c r="Y35" i="42"/>
  <c r="Y34" i="42"/>
  <c r="Y33" i="42"/>
  <c r="Y32" i="42"/>
  <c r="Y31" i="42"/>
  <c r="Y30" i="42"/>
  <c r="Y29" i="42"/>
  <c r="Y28" i="42"/>
  <c r="Y27" i="42"/>
  <c r="Y26" i="42"/>
  <c r="Y25" i="42"/>
  <c r="Y24" i="42"/>
  <c r="Y23" i="42"/>
  <c r="Y22" i="42"/>
  <c r="Y21" i="42"/>
  <c r="Y20" i="42"/>
  <c r="Y19" i="42"/>
  <c r="Y18" i="42"/>
  <c r="Y17" i="42"/>
  <c r="Y16" i="42"/>
  <c r="Y15" i="42"/>
  <c r="Y14" i="42"/>
  <c r="Y13" i="42"/>
  <c r="Y12" i="42"/>
  <c r="Y11" i="42"/>
  <c r="Y112" i="42" s="1"/>
  <c r="Y113" i="42" s="1"/>
  <c r="J56" i="13"/>
  <c r="J60" i="13" s="1"/>
  <c r="J61" i="13" s="1"/>
  <c r="AA56" i="13"/>
  <c r="AA60" i="13" s="1"/>
  <c r="AA61" i="13" s="1"/>
  <c r="H56" i="13"/>
  <c r="H60" i="13" s="1"/>
  <c r="H61" i="13" s="1"/>
  <c r="H62" i="13" s="1"/>
  <c r="C62" i="13"/>
  <c r="H11" i="42" l="1"/>
  <c r="X13" i="42"/>
  <c r="X29" i="42"/>
  <c r="X45" i="42"/>
  <c r="X61" i="42"/>
  <c r="X11" i="42"/>
  <c r="H25" i="42"/>
  <c r="X25" i="42" s="1"/>
  <c r="H41" i="42"/>
  <c r="X41" i="42" s="1"/>
  <c r="H108" i="42"/>
  <c r="X108" i="42" s="1"/>
  <c r="X21" i="42"/>
  <c r="X37" i="42"/>
  <c r="X53" i="42"/>
  <c r="X104" i="42"/>
  <c r="X18" i="42"/>
  <c r="X34" i="42"/>
  <c r="X19" i="42"/>
  <c r="X35" i="42"/>
  <c r="X51" i="42"/>
  <c r="X16" i="42"/>
  <c r="X32" i="42"/>
  <c r="X48" i="42"/>
  <c r="Z56" i="13"/>
  <c r="Z60" i="13" s="1"/>
  <c r="Z61" i="13" s="1"/>
  <c r="X20" i="42"/>
  <c r="X28" i="42"/>
  <c r="X36" i="42"/>
  <c r="X44" i="42"/>
  <c r="X52" i="42"/>
  <c r="X60" i="42"/>
  <c r="X111" i="42"/>
  <c r="X112" i="42" l="1"/>
  <c r="X113" i="42" s="1"/>
  <c r="Z25" i="10"/>
  <c r="Z26" i="10"/>
  <c r="Z27" i="10"/>
  <c r="J26" i="10"/>
  <c r="K26" i="10" s="1"/>
  <c r="AA26" i="10" l="1"/>
  <c r="AB26" i="10"/>
  <c r="AB25" i="10"/>
  <c r="AA25" i="10"/>
  <c r="M67" i="41"/>
  <c r="N67" i="41"/>
  <c r="N78" i="41" s="1"/>
  <c r="O67" i="41"/>
  <c r="P67" i="41"/>
  <c r="Q67" i="41"/>
  <c r="R67" i="41"/>
  <c r="R78" i="41" s="1"/>
  <c r="S67" i="41"/>
  <c r="T78" i="41"/>
  <c r="U67" i="41"/>
  <c r="V67" i="41"/>
  <c r="V78" i="41" s="1"/>
  <c r="W67" i="41"/>
  <c r="X67" i="41"/>
  <c r="X78" i="41" s="1"/>
  <c r="M78" i="41"/>
  <c r="P78" i="41"/>
  <c r="Q78" i="41"/>
  <c r="U78" i="41"/>
  <c r="C73" i="41"/>
  <c r="C41" i="41"/>
  <c r="K51" i="41"/>
  <c r="K62" i="41" s="1"/>
  <c r="J51" i="41"/>
  <c r="Z67" i="41"/>
  <c r="Z78" i="41" s="1"/>
  <c r="H8" i="18"/>
  <c r="H32" i="18" s="1"/>
  <c r="H62" i="18" s="1"/>
  <c r="Z32" i="10"/>
  <c r="Z31" i="10"/>
  <c r="Z22" i="10"/>
  <c r="Z21" i="10"/>
  <c r="Z17" i="10"/>
  <c r="Z16" i="10"/>
  <c r="Z15" i="10"/>
  <c r="Z10" i="10"/>
  <c r="AB27" i="10"/>
  <c r="G79" i="9"/>
  <c r="G77" i="9"/>
  <c r="F77" i="9"/>
  <c r="G75" i="9"/>
  <c r="F75" i="9"/>
  <c r="G74" i="9"/>
  <c r="F74" i="9"/>
  <c r="G73" i="9"/>
  <c r="F73" i="9"/>
  <c r="G71" i="9"/>
  <c r="Y59" i="9"/>
  <c r="AC41" i="41" l="1"/>
  <c r="AC73" i="41"/>
  <c r="AC76" i="41" s="1"/>
  <c r="I16" i="41"/>
  <c r="I43" i="41"/>
  <c r="I47" i="41"/>
  <c r="I51" i="41"/>
  <c r="I56" i="41"/>
  <c r="L56" i="41" s="1"/>
  <c r="AB56" i="41" s="1"/>
  <c r="I19" i="41"/>
  <c r="I24" i="41"/>
  <c r="L24" i="41" s="1"/>
  <c r="AB24" i="41" s="1"/>
  <c r="I28" i="41"/>
  <c r="I32" i="41"/>
  <c r="I37" i="41"/>
  <c r="I55" i="41"/>
  <c r="L55" i="41" s="1"/>
  <c r="AB55" i="41" s="1"/>
  <c r="I60" i="41"/>
  <c r="I66" i="41"/>
  <c r="I12" i="41"/>
  <c r="I33" i="41"/>
  <c r="I44" i="41"/>
  <c r="I48" i="41"/>
  <c r="L48" i="41" s="1"/>
  <c r="AB48" i="41" s="1"/>
  <c r="I53" i="41"/>
  <c r="I20" i="41"/>
  <c r="L20" i="41" s="1"/>
  <c r="AB20" i="41" s="1"/>
  <c r="I25" i="41"/>
  <c r="I29" i="41"/>
  <c r="I34" i="41"/>
  <c r="I38" i="41"/>
  <c r="I57" i="41"/>
  <c r="I61" i="41"/>
  <c r="L61" i="41" s="1"/>
  <c r="AB61" i="41" s="1"/>
  <c r="I64" i="41"/>
  <c r="I14" i="41"/>
  <c r="L14" i="41" s="1"/>
  <c r="AB14" i="41" s="1"/>
  <c r="I41" i="41"/>
  <c r="I45" i="41"/>
  <c r="I49" i="41"/>
  <c r="I17" i="41"/>
  <c r="I22" i="41"/>
  <c r="L22" i="41" s="1"/>
  <c r="AB22" i="41" s="1"/>
  <c r="I26" i="41"/>
  <c r="I30" i="41"/>
  <c r="I35" i="41"/>
  <c r="L35" i="41" s="1"/>
  <c r="AB35" i="41" s="1"/>
  <c r="I58" i="41"/>
  <c r="I62" i="41"/>
  <c r="L62" i="41" s="1"/>
  <c r="AB62" i="41" s="1"/>
  <c r="I11" i="41"/>
  <c r="I15" i="41"/>
  <c r="I42" i="41"/>
  <c r="L42" i="41" s="1"/>
  <c r="AB42" i="41" s="1"/>
  <c r="I46" i="41"/>
  <c r="I50" i="41"/>
  <c r="I52" i="41"/>
  <c r="I18" i="41"/>
  <c r="L18" i="41" s="1"/>
  <c r="AB18" i="41" s="1"/>
  <c r="I23" i="41"/>
  <c r="I27" i="41"/>
  <c r="L27" i="41"/>
  <c r="AB27" i="41" s="1"/>
  <c r="I31" i="41"/>
  <c r="I36" i="41"/>
  <c r="I54" i="41"/>
  <c r="L54" i="41" s="1"/>
  <c r="AB54" i="41" s="1"/>
  <c r="I59" i="41"/>
  <c r="I65" i="41"/>
  <c r="L65" i="41" s="1"/>
  <c r="AB65" i="41" s="1"/>
  <c r="H73" i="41"/>
  <c r="Y79" i="9"/>
  <c r="F79" i="9"/>
  <c r="H71" i="9"/>
  <c r="F71" i="9"/>
  <c r="W78" i="41"/>
  <c r="S78" i="41"/>
  <c r="O78" i="41"/>
  <c r="K67" i="41"/>
  <c r="K78" i="41" s="1"/>
  <c r="J62" i="41"/>
  <c r="J67" i="41" s="1"/>
  <c r="J78" i="41" s="1"/>
  <c r="AB21" i="10"/>
  <c r="AB31" i="10"/>
  <c r="AB32" i="10"/>
  <c r="L64" i="41"/>
  <c r="AB64" i="41" s="1"/>
  <c r="L66" i="41"/>
  <c r="AB66" i="41" s="1"/>
  <c r="L60" i="41"/>
  <c r="AB60" i="41" s="1"/>
  <c r="L29" i="41"/>
  <c r="AB29" i="41" s="1"/>
  <c r="L36" i="41"/>
  <c r="AB36" i="41" s="1"/>
  <c r="L19" i="41"/>
  <c r="AB19" i="41" s="1"/>
  <c r="L37" i="41"/>
  <c r="AB37" i="41" s="1"/>
  <c r="L28" i="41"/>
  <c r="AB28" i="41" s="1"/>
  <c r="L31" i="41"/>
  <c r="AB31" i="41" s="1"/>
  <c r="L32" i="41"/>
  <c r="AB32" i="41" s="1"/>
  <c r="L30" i="41"/>
  <c r="AB30" i="41" s="1"/>
  <c r="L25" i="41"/>
  <c r="AB25" i="41" s="1"/>
  <c r="L23" i="41"/>
  <c r="AB23" i="41" s="1"/>
  <c r="L44" i="41"/>
  <c r="AB44" i="41" s="1"/>
  <c r="L49" i="41"/>
  <c r="AB49" i="41" s="1"/>
  <c r="L51" i="41"/>
  <c r="AB51" i="41" s="1"/>
  <c r="L33" i="41"/>
  <c r="AB33" i="41" s="1"/>
  <c r="L12" i="41"/>
  <c r="AB12" i="41" s="1"/>
  <c r="L43" i="41"/>
  <c r="AB43" i="41" s="1"/>
  <c r="AA11" i="41"/>
  <c r="AC11" i="41" s="1"/>
  <c r="L45" i="41"/>
  <c r="AB45" i="41" s="1"/>
  <c r="L47" i="41"/>
  <c r="AB47" i="41" s="1"/>
  <c r="L53" i="41"/>
  <c r="AB53" i="41" s="1"/>
  <c r="L16" i="41"/>
  <c r="AB16" i="41" s="1"/>
  <c r="L41" i="41"/>
  <c r="AB41" i="41" s="1"/>
  <c r="L46" i="41"/>
  <c r="AB46" i="41" s="1"/>
  <c r="L50" i="41"/>
  <c r="AB50" i="41" s="1"/>
  <c r="L52" i="41"/>
  <c r="AB52" i="41" s="1"/>
  <c r="J32" i="10"/>
  <c r="K32" i="10" s="1"/>
  <c r="AA32" i="10" s="1"/>
  <c r="J31" i="10"/>
  <c r="K31" i="10" s="1"/>
  <c r="AA31" i="10" s="1"/>
  <c r="AB22" i="10"/>
  <c r="AB15" i="10"/>
  <c r="AB17" i="10"/>
  <c r="J22" i="10"/>
  <c r="K22" i="10" s="1"/>
  <c r="AA22" i="10" s="1"/>
  <c r="J21" i="10"/>
  <c r="K21" i="10" s="1"/>
  <c r="AA21" i="10" s="1"/>
  <c r="J17" i="10"/>
  <c r="K17" i="10" s="1"/>
  <c r="AA17" i="10" s="1"/>
  <c r="AB16" i="10"/>
  <c r="J16" i="10"/>
  <c r="K16" i="10" s="1"/>
  <c r="AA16" i="10" s="1"/>
  <c r="J15" i="10"/>
  <c r="K15" i="10" s="1"/>
  <c r="AA15" i="10" s="1"/>
  <c r="AB10" i="10"/>
  <c r="J10" i="10"/>
  <c r="K10" i="10" s="1"/>
  <c r="AA10" i="10" s="1"/>
  <c r="H79" i="9"/>
  <c r="X79" i="9" s="1"/>
  <c r="Y75" i="9"/>
  <c r="Y77" i="9"/>
  <c r="H77" i="9"/>
  <c r="X77" i="9" s="1"/>
  <c r="H75" i="9"/>
  <c r="X75" i="9" s="1"/>
  <c r="Y71" i="9"/>
  <c r="X71" i="9"/>
  <c r="Y73" i="9"/>
  <c r="Y74" i="9"/>
  <c r="H74" i="9"/>
  <c r="X74" i="9" s="1"/>
  <c r="H73" i="9"/>
  <c r="X73" i="9" s="1"/>
  <c r="G59" i="9"/>
  <c r="H59" i="9" s="1"/>
  <c r="X59" i="9" s="1"/>
  <c r="G45" i="9"/>
  <c r="H45" i="9" s="1"/>
  <c r="G44" i="9"/>
  <c r="H44" i="9" s="1"/>
  <c r="G41" i="9"/>
  <c r="H41" i="9" s="1"/>
  <c r="G42" i="9"/>
  <c r="H42" i="9" s="1"/>
  <c r="G39" i="9"/>
  <c r="H39" i="9" s="1"/>
  <c r="Y30" i="9"/>
  <c r="C27" i="9"/>
  <c r="E27" i="9" s="1"/>
  <c r="F27" i="9" s="1"/>
  <c r="C26" i="9"/>
  <c r="E26" i="9" s="1"/>
  <c r="F26" i="9" s="1"/>
  <c r="C23" i="9"/>
  <c r="E23" i="9" s="1"/>
  <c r="F23" i="9" s="1"/>
  <c r="C21" i="9"/>
  <c r="E21" i="9" s="1"/>
  <c r="F21" i="9" s="1"/>
  <c r="C20" i="9"/>
  <c r="E20" i="9" s="1"/>
  <c r="F20" i="9" s="1"/>
  <c r="C19" i="9"/>
  <c r="E19" i="9" s="1"/>
  <c r="F19" i="9" s="1"/>
  <c r="C11" i="9"/>
  <c r="E11" i="9" s="1"/>
  <c r="F11" i="9" s="1"/>
  <c r="C9" i="9"/>
  <c r="E9" i="9" s="1"/>
  <c r="F9" i="9" s="1"/>
  <c r="AH42" i="8"/>
  <c r="AH52" i="8"/>
  <c r="AH51" i="8"/>
  <c r="AH50" i="8"/>
  <c r="AH32" i="8"/>
  <c r="AH31" i="8"/>
  <c r="AH29" i="8"/>
  <c r="C28" i="8"/>
  <c r="N28" i="8" s="1"/>
  <c r="C20" i="8"/>
  <c r="N20" i="8" s="1"/>
  <c r="C17" i="8"/>
  <c r="N17" i="8" s="1"/>
  <c r="C18" i="8"/>
  <c r="N18" i="8" s="1"/>
  <c r="C15" i="8"/>
  <c r="N15" i="8" s="1"/>
  <c r="C14" i="8"/>
  <c r="N14" i="8" s="1"/>
  <c r="C13" i="8"/>
  <c r="N13" i="8" s="1"/>
  <c r="C12" i="8"/>
  <c r="N12" i="8" s="1"/>
  <c r="C10" i="8"/>
  <c r="N10" i="8" s="1"/>
  <c r="C8" i="8"/>
  <c r="F80" i="9" l="1"/>
  <c r="F102" i="9" s="1"/>
  <c r="O55" i="8"/>
  <c r="N55" i="8"/>
  <c r="N26" i="8"/>
  <c r="O13" i="8"/>
  <c r="E65" i="9"/>
  <c r="F65" i="9"/>
  <c r="I73" i="41"/>
  <c r="L73" i="41"/>
  <c r="AB73" i="41" s="1"/>
  <c r="AB76" i="41" s="1"/>
  <c r="P50" i="8"/>
  <c r="P31" i="8"/>
  <c r="S31" i="8" s="1"/>
  <c r="AI31" i="8" s="1"/>
  <c r="P32" i="8"/>
  <c r="L57" i="41"/>
  <c r="AB57" i="41" s="1"/>
  <c r="L58" i="41"/>
  <c r="AB58" i="41" s="1"/>
  <c r="I67" i="41"/>
  <c r="L11" i="41"/>
  <c r="AB11" i="41" s="1"/>
  <c r="H67" i="41"/>
  <c r="H78" i="41" s="1"/>
  <c r="Y67" i="41"/>
  <c r="Y78" i="41" s="1"/>
  <c r="AC67" i="41"/>
  <c r="AC78" i="41" s="1"/>
  <c r="AA67" i="41"/>
  <c r="AA78" i="41" s="1"/>
  <c r="L59" i="41"/>
  <c r="AB59" i="41" s="1"/>
  <c r="L34" i="41"/>
  <c r="AB34" i="41" s="1"/>
  <c r="L38" i="41"/>
  <c r="AB38" i="41" s="1"/>
  <c r="L17" i="41"/>
  <c r="AB17" i="41" s="1"/>
  <c r="L26" i="41"/>
  <c r="AB26" i="41" s="1"/>
  <c r="C67" i="41"/>
  <c r="C78" i="41" s="1"/>
  <c r="L15" i="41"/>
  <c r="AB15" i="41" s="1"/>
  <c r="Y48" i="9"/>
  <c r="Y49" i="9"/>
  <c r="Y42" i="9"/>
  <c r="Y45" i="9"/>
  <c r="Y47" i="9"/>
  <c r="G49" i="9"/>
  <c r="H49" i="9" s="1"/>
  <c r="X49" i="9" s="1"/>
  <c r="X42" i="9"/>
  <c r="X41" i="9"/>
  <c r="X45" i="9"/>
  <c r="Y46" i="9"/>
  <c r="G48" i="9"/>
  <c r="H48" i="9" s="1"/>
  <c r="X48" i="9" s="1"/>
  <c r="G47" i="9"/>
  <c r="H47" i="9" s="1"/>
  <c r="X47" i="9" s="1"/>
  <c r="Y43" i="9"/>
  <c r="Y41" i="9"/>
  <c r="X44" i="9"/>
  <c r="Y44" i="9"/>
  <c r="G43" i="9"/>
  <c r="H43" i="9" s="1"/>
  <c r="X43" i="9" s="1"/>
  <c r="G46" i="9"/>
  <c r="H46" i="9" s="1"/>
  <c r="X46" i="9" s="1"/>
  <c r="Y31" i="9"/>
  <c r="Y25" i="9"/>
  <c r="X39" i="9"/>
  <c r="Y39" i="9"/>
  <c r="Y38" i="9"/>
  <c r="Y40" i="9"/>
  <c r="G40" i="9"/>
  <c r="H40" i="9" s="1"/>
  <c r="X40" i="9" s="1"/>
  <c r="G38" i="9"/>
  <c r="H38" i="9" s="1"/>
  <c r="X38" i="9" s="1"/>
  <c r="Y24" i="9"/>
  <c r="G31" i="9"/>
  <c r="H31" i="9" s="1"/>
  <c r="X31" i="9" s="1"/>
  <c r="X30" i="9"/>
  <c r="Y27" i="9"/>
  <c r="Y28" i="9"/>
  <c r="G28" i="9"/>
  <c r="H28" i="9" s="1"/>
  <c r="X28" i="9" s="1"/>
  <c r="G27" i="9"/>
  <c r="H27" i="9" s="1"/>
  <c r="X27" i="9" s="1"/>
  <c r="Y22" i="9"/>
  <c r="G25" i="9"/>
  <c r="H25" i="9" s="1"/>
  <c r="X25" i="9" s="1"/>
  <c r="Y23" i="9"/>
  <c r="G22" i="9"/>
  <c r="H22" i="9" s="1"/>
  <c r="X22" i="9" s="1"/>
  <c r="G23" i="9"/>
  <c r="H23" i="9" s="1"/>
  <c r="X23" i="9" s="1"/>
  <c r="G24" i="9"/>
  <c r="H24" i="9" s="1"/>
  <c r="X24" i="9" s="1"/>
  <c r="AJ42" i="8"/>
  <c r="AJ52" i="8"/>
  <c r="AJ51" i="8"/>
  <c r="P42" i="8"/>
  <c r="S42" i="8" s="1"/>
  <c r="AI42" i="8" s="1"/>
  <c r="AJ50" i="8"/>
  <c r="P52" i="8"/>
  <c r="S52" i="8" s="1"/>
  <c r="AI52" i="8" s="1"/>
  <c r="P51" i="8"/>
  <c r="S51" i="8" s="1"/>
  <c r="AI51" i="8" s="1"/>
  <c r="AJ32" i="8"/>
  <c r="AJ31" i="8"/>
  <c r="AJ29" i="8"/>
  <c r="P29" i="8"/>
  <c r="S29" i="8" s="1"/>
  <c r="AI29" i="8" s="1"/>
  <c r="X48" i="40"/>
  <c r="X46" i="40"/>
  <c r="X45" i="40"/>
  <c r="X44" i="40"/>
  <c r="X43" i="40"/>
  <c r="X42" i="40"/>
  <c r="X11" i="40"/>
  <c r="X12" i="40"/>
  <c r="X13" i="40"/>
  <c r="X14" i="40"/>
  <c r="X15" i="40"/>
  <c r="X16" i="40"/>
  <c r="X17" i="40"/>
  <c r="X18" i="40"/>
  <c r="X19" i="40"/>
  <c r="X20" i="40"/>
  <c r="X21" i="40"/>
  <c r="X22" i="40"/>
  <c r="X23" i="40"/>
  <c r="X24" i="40"/>
  <c r="X25" i="40"/>
  <c r="X26" i="40"/>
  <c r="X27" i="40"/>
  <c r="X28" i="40"/>
  <c r="X29" i="40"/>
  <c r="X30" i="40"/>
  <c r="X32" i="40"/>
  <c r="O49" i="40"/>
  <c r="P49" i="40"/>
  <c r="Q49" i="40"/>
  <c r="R49" i="40"/>
  <c r="S49" i="40"/>
  <c r="T49" i="40"/>
  <c r="U49" i="40"/>
  <c r="G44" i="40"/>
  <c r="C48" i="40"/>
  <c r="F48" i="40" s="1"/>
  <c r="C47" i="40"/>
  <c r="F47" i="40" s="1"/>
  <c r="C45" i="40"/>
  <c r="F45" i="40" s="1"/>
  <c r="C43" i="40"/>
  <c r="F43" i="40" s="1"/>
  <c r="C41" i="40"/>
  <c r="F41" i="40" s="1"/>
  <c r="C32" i="40"/>
  <c r="F32" i="40" s="1"/>
  <c r="C30" i="40"/>
  <c r="F30" i="40" s="1"/>
  <c r="C29" i="40"/>
  <c r="F29" i="40" s="1"/>
  <c r="C26" i="40"/>
  <c r="F26" i="40" s="1"/>
  <c r="C24" i="40"/>
  <c r="F24" i="40" s="1"/>
  <c r="C23" i="40"/>
  <c r="F23" i="40" s="1"/>
  <c r="C19" i="40"/>
  <c r="F19" i="40" s="1"/>
  <c r="G19" i="40" s="1"/>
  <c r="C16" i="40"/>
  <c r="F16" i="40" s="1"/>
  <c r="C15" i="40"/>
  <c r="F15" i="40" s="1"/>
  <c r="C10" i="40"/>
  <c r="C11" i="40"/>
  <c r="F11" i="40" s="1"/>
  <c r="I78" i="41" l="1"/>
  <c r="F10" i="40"/>
  <c r="C33" i="40"/>
  <c r="O26" i="8"/>
  <c r="F33" i="40"/>
  <c r="C49" i="40"/>
  <c r="C50" i="40" s="1"/>
  <c r="S51" i="40"/>
  <c r="S50" i="40"/>
  <c r="O51" i="40"/>
  <c r="O50" i="40"/>
  <c r="R51" i="40"/>
  <c r="R50" i="40"/>
  <c r="U51" i="40"/>
  <c r="U50" i="40"/>
  <c r="Q51" i="40"/>
  <c r="Q50" i="40"/>
  <c r="T51" i="40"/>
  <c r="T50" i="40"/>
  <c r="P51" i="40"/>
  <c r="P50" i="40"/>
  <c r="G33" i="40"/>
  <c r="G48" i="40"/>
  <c r="G43" i="40"/>
  <c r="G45" i="40"/>
  <c r="Z28" i="40"/>
  <c r="S32" i="8"/>
  <c r="AI32" i="8" s="1"/>
  <c r="S50" i="8"/>
  <c r="AI50" i="8" s="1"/>
  <c r="H30" i="40"/>
  <c r="H15" i="40"/>
  <c r="I15" i="40" s="1"/>
  <c r="Y15" i="40" s="1"/>
  <c r="I47" i="40"/>
  <c r="G47" i="40"/>
  <c r="H26" i="40"/>
  <c r="H25" i="40"/>
  <c r="I25" i="40" s="1"/>
  <c r="Y25" i="40" s="1"/>
  <c r="H24" i="40"/>
  <c r="H32" i="40"/>
  <c r="I32" i="40" s="1"/>
  <c r="Y32" i="40" s="1"/>
  <c r="H29" i="40"/>
  <c r="I29" i="40" s="1"/>
  <c r="Y29" i="40" s="1"/>
  <c r="H27" i="40"/>
  <c r="H21" i="40"/>
  <c r="I21" i="40" s="1"/>
  <c r="Y21" i="40" s="1"/>
  <c r="H18" i="40"/>
  <c r="H12" i="40"/>
  <c r="I12" i="40" s="1"/>
  <c r="Y12" i="40" s="1"/>
  <c r="H46" i="40"/>
  <c r="G46" i="40"/>
  <c r="I44" i="40"/>
  <c r="Z29" i="40"/>
  <c r="Z17" i="40"/>
  <c r="Z44" i="40"/>
  <c r="H44" i="40"/>
  <c r="Z12" i="40"/>
  <c r="H11" i="40"/>
  <c r="I11" i="40" s="1"/>
  <c r="Y11" i="40" s="1"/>
  <c r="H19" i="40"/>
  <c r="H28" i="40"/>
  <c r="I28" i="40" s="1"/>
  <c r="Y28" i="40" s="1"/>
  <c r="H22" i="40"/>
  <c r="H20" i="40"/>
  <c r="I20" i="40" s="1"/>
  <c r="Y20" i="40" s="1"/>
  <c r="H17" i="40"/>
  <c r="I17" i="40" s="1"/>
  <c r="Y17" i="40" s="1"/>
  <c r="H13" i="40"/>
  <c r="I13" i="40" s="1"/>
  <c r="Y13" i="40" s="1"/>
  <c r="H42" i="40"/>
  <c r="G42" i="40"/>
  <c r="I42" i="40"/>
  <c r="Y42" i="40" s="1"/>
  <c r="Z45" i="40"/>
  <c r="H16" i="40"/>
  <c r="I16" i="40" s="1"/>
  <c r="Y16" i="40" s="1"/>
  <c r="H14" i="40"/>
  <c r="H23" i="40"/>
  <c r="I23" i="40" s="1"/>
  <c r="Y23" i="40" s="1"/>
  <c r="I46" i="40"/>
  <c r="Z30" i="40"/>
  <c r="Z18" i="40"/>
  <c r="Z14" i="40"/>
  <c r="Z42" i="40"/>
  <c r="Z46" i="40"/>
  <c r="AB67" i="41"/>
  <c r="G67" i="41"/>
  <c r="G78" i="41" s="1"/>
  <c r="Z21" i="40"/>
  <c r="Z20" i="40"/>
  <c r="H43" i="40"/>
  <c r="I43" i="40"/>
  <c r="Y43" i="40" s="1"/>
  <c r="Z16" i="40"/>
  <c r="H45" i="40"/>
  <c r="I45" i="40"/>
  <c r="Y45" i="40" s="1"/>
  <c r="Z24" i="40"/>
  <c r="Z26" i="40"/>
  <c r="X41" i="40"/>
  <c r="H41" i="40"/>
  <c r="Z32" i="40"/>
  <c r="Z27" i="40"/>
  <c r="Z23" i="40"/>
  <c r="Z19" i="40"/>
  <c r="Z15" i="40"/>
  <c r="H47" i="40"/>
  <c r="Z25" i="40"/>
  <c r="Z13" i="40"/>
  <c r="Z22" i="40"/>
  <c r="Z11" i="40"/>
  <c r="Y44" i="40"/>
  <c r="Y46" i="40"/>
  <c r="AB78" i="41" l="1"/>
  <c r="Z43" i="40"/>
  <c r="H48" i="40"/>
  <c r="H49" i="40" s="1"/>
  <c r="H50" i="40" s="1"/>
  <c r="Z48" i="40"/>
  <c r="F49" i="40"/>
  <c r="F50" i="40" s="1"/>
  <c r="I48" i="40"/>
  <c r="Y48" i="40" s="1"/>
  <c r="I41" i="40"/>
  <c r="G41" i="40"/>
  <c r="I19" i="40"/>
  <c r="Y19" i="40" s="1"/>
  <c r="I27" i="40"/>
  <c r="Y27" i="40" s="1"/>
  <c r="I14" i="40"/>
  <c r="Y14" i="40" s="1"/>
  <c r="I22" i="40"/>
  <c r="Y22" i="40" s="1"/>
  <c r="I18" i="40"/>
  <c r="Y18" i="40" s="1"/>
  <c r="I24" i="40"/>
  <c r="Y24" i="40" s="1"/>
  <c r="I26" i="40"/>
  <c r="Y26" i="40" s="1"/>
  <c r="I30" i="40"/>
  <c r="Y30" i="40" s="1"/>
  <c r="Y41" i="40"/>
  <c r="Z41" i="40"/>
  <c r="I49" i="40" l="1"/>
  <c r="I50" i="40" s="1"/>
  <c r="L67" i="41"/>
  <c r="L78" i="41" s="1"/>
  <c r="N47" i="40"/>
  <c r="L49" i="40"/>
  <c r="J47" i="40"/>
  <c r="G49" i="40"/>
  <c r="Z34" i="40"/>
  <c r="Y34" i="40"/>
  <c r="X10" i="40"/>
  <c r="X33" i="40" s="1"/>
  <c r="F51" i="40"/>
  <c r="AC58" i="39"/>
  <c r="AC47" i="39"/>
  <c r="AC48" i="39"/>
  <c r="AC49" i="39"/>
  <c r="AC50" i="39"/>
  <c r="AC51" i="39"/>
  <c r="AC52" i="39"/>
  <c r="AC53" i="39"/>
  <c r="AC54" i="39"/>
  <c r="AC55" i="39"/>
  <c r="AB43" i="39"/>
  <c r="AD43" i="39" s="1"/>
  <c r="AD25" i="39"/>
  <c r="AC24" i="39"/>
  <c r="AC25" i="39"/>
  <c r="K26" i="39"/>
  <c r="L26" i="39"/>
  <c r="N26" i="39"/>
  <c r="O26" i="39"/>
  <c r="P26" i="39"/>
  <c r="Q26" i="39"/>
  <c r="R26" i="39"/>
  <c r="S26" i="39"/>
  <c r="T26" i="39"/>
  <c r="U26" i="39"/>
  <c r="V26" i="39"/>
  <c r="W26" i="39"/>
  <c r="X26" i="39"/>
  <c r="Y26" i="39"/>
  <c r="K44" i="39"/>
  <c r="L44" i="39"/>
  <c r="N44" i="39"/>
  <c r="O44" i="39"/>
  <c r="P44" i="39"/>
  <c r="Q44" i="39"/>
  <c r="R44" i="39"/>
  <c r="S44" i="39"/>
  <c r="T44" i="39"/>
  <c r="U44" i="39"/>
  <c r="W44" i="39"/>
  <c r="X44" i="39"/>
  <c r="Y44" i="39"/>
  <c r="Z44" i="39"/>
  <c r="K66" i="39"/>
  <c r="L66" i="39"/>
  <c r="N66" i="39"/>
  <c r="O66" i="39"/>
  <c r="P66" i="39"/>
  <c r="Q66" i="39"/>
  <c r="R66" i="39"/>
  <c r="S66" i="39"/>
  <c r="T66" i="39"/>
  <c r="U66" i="39"/>
  <c r="V66" i="39"/>
  <c r="W66" i="39"/>
  <c r="X66" i="39"/>
  <c r="Y66" i="39"/>
  <c r="AA66" i="39"/>
  <c r="AB66" i="39"/>
  <c r="C66" i="39"/>
  <c r="AB41" i="39"/>
  <c r="AD41" i="39" s="1"/>
  <c r="AB35" i="39"/>
  <c r="AD35" i="39" s="1"/>
  <c r="C33" i="39"/>
  <c r="H33" i="39" s="1"/>
  <c r="C32" i="39"/>
  <c r="H32" i="39" s="1"/>
  <c r="AB32" i="39"/>
  <c r="AD32" i="39" s="1"/>
  <c r="AB31" i="39"/>
  <c r="AD31" i="39" s="1"/>
  <c r="AB33" i="39"/>
  <c r="AD33" i="39" s="1"/>
  <c r="C30" i="39"/>
  <c r="H30" i="39" s="1"/>
  <c r="C29" i="39"/>
  <c r="C28" i="39"/>
  <c r="H28" i="39" s="1"/>
  <c r="C23" i="39"/>
  <c r="H23" i="39" s="1"/>
  <c r="C22" i="39"/>
  <c r="H22" i="39" s="1"/>
  <c r="C21" i="39"/>
  <c r="H21" i="39" s="1"/>
  <c r="C20" i="39"/>
  <c r="H20" i="39" s="1"/>
  <c r="C18" i="39"/>
  <c r="H18" i="39" s="1"/>
  <c r="C17" i="39"/>
  <c r="H17" i="39" s="1"/>
  <c r="C15" i="39"/>
  <c r="H15" i="39" s="1"/>
  <c r="C14" i="39"/>
  <c r="H14" i="39" s="1"/>
  <c r="C13" i="39"/>
  <c r="H13" i="39" s="1"/>
  <c r="I13" i="39" s="1"/>
  <c r="C12" i="39"/>
  <c r="H12" i="39" s="1"/>
  <c r="C11" i="39"/>
  <c r="H11" i="39" s="1"/>
  <c r="C10" i="39"/>
  <c r="H10" i="39" s="1"/>
  <c r="C8" i="39"/>
  <c r="AD59" i="39"/>
  <c r="AC59" i="39"/>
  <c r="Y57" i="39"/>
  <c r="X57" i="39"/>
  <c r="W57" i="39"/>
  <c r="V57" i="39"/>
  <c r="U57" i="39"/>
  <c r="T57" i="39"/>
  <c r="S57" i="39"/>
  <c r="R57" i="39"/>
  <c r="Q57" i="39"/>
  <c r="P57" i="39"/>
  <c r="O57" i="39"/>
  <c r="L57" i="39"/>
  <c r="K57" i="39"/>
  <c r="I57" i="39"/>
  <c r="AC46" i="39"/>
  <c r="AC45" i="39"/>
  <c r="AB42" i="39"/>
  <c r="AD42" i="39" s="1"/>
  <c r="AB40" i="39"/>
  <c r="AD40" i="39" s="1"/>
  <c r="AB39" i="39"/>
  <c r="AD39" i="39" s="1"/>
  <c r="AB38" i="39"/>
  <c r="AD38" i="39" s="1"/>
  <c r="AB37" i="39"/>
  <c r="AD37" i="39" s="1"/>
  <c r="AB36" i="39"/>
  <c r="AD36" i="39" s="1"/>
  <c r="J36" i="39"/>
  <c r="M36" i="39" s="1"/>
  <c r="AB34" i="39"/>
  <c r="AD34" i="39" s="1"/>
  <c r="AB30" i="39"/>
  <c r="AD30" i="39" s="1"/>
  <c r="AB29" i="39"/>
  <c r="AB23" i="39"/>
  <c r="AB22" i="39"/>
  <c r="AB21" i="39"/>
  <c r="AD21" i="39" s="1"/>
  <c r="AB20" i="39"/>
  <c r="AB19" i="39"/>
  <c r="AD19" i="39" s="1"/>
  <c r="J19" i="39"/>
  <c r="M19" i="39" s="1"/>
  <c r="AB15" i="39"/>
  <c r="AD15" i="39" s="1"/>
  <c r="AB14" i="39"/>
  <c r="AB18" i="39"/>
  <c r="AD18" i="39" s="1"/>
  <c r="AB17" i="39"/>
  <c r="AB16" i="39"/>
  <c r="AD16" i="39" s="1"/>
  <c r="AB13" i="39"/>
  <c r="AD13" i="39" s="1"/>
  <c r="AB12" i="39"/>
  <c r="AD12" i="39" s="1"/>
  <c r="AB11" i="39"/>
  <c r="AD11" i="39" s="1"/>
  <c r="AB10" i="39"/>
  <c r="AB9" i="39"/>
  <c r="C16" i="7"/>
  <c r="C13" i="7"/>
  <c r="D13" i="7" s="1"/>
  <c r="C12" i="7"/>
  <c r="D12" i="7" s="1"/>
  <c r="C11" i="7"/>
  <c r="D11" i="7" s="1"/>
  <c r="C10" i="7"/>
  <c r="D10" i="7" s="1"/>
  <c r="C9" i="7"/>
  <c r="X13" i="4"/>
  <c r="C14" i="38"/>
  <c r="C13" i="38"/>
  <c r="C10" i="38"/>
  <c r="C9" i="38"/>
  <c r="V16" i="38"/>
  <c r="V17" i="38" s="1"/>
  <c r="U16" i="38"/>
  <c r="U17" i="38" s="1"/>
  <c r="T16" i="38"/>
  <c r="T17" i="38" s="1"/>
  <c r="S16" i="38"/>
  <c r="S17" i="38" s="1"/>
  <c r="R16" i="38"/>
  <c r="R17" i="38" s="1"/>
  <c r="Q16" i="38"/>
  <c r="Q17" i="38" s="1"/>
  <c r="P16" i="38"/>
  <c r="P17" i="38" s="1"/>
  <c r="O16" i="38"/>
  <c r="O17" i="38" s="1"/>
  <c r="N16" i="38"/>
  <c r="N17" i="38" s="1"/>
  <c r="M16" i="38"/>
  <c r="M17" i="38" s="1"/>
  <c r="L16" i="38"/>
  <c r="L17" i="38" s="1"/>
  <c r="K16" i="38"/>
  <c r="K17" i="38" s="1"/>
  <c r="J16" i="38"/>
  <c r="J17" i="38" s="1"/>
  <c r="H16" i="38"/>
  <c r="H17" i="38" s="1"/>
  <c r="G16" i="38"/>
  <c r="G17" i="38" s="1"/>
  <c r="AC14" i="5"/>
  <c r="C18" i="5"/>
  <c r="G18" i="5" s="1"/>
  <c r="C17" i="5"/>
  <c r="G17" i="5" s="1"/>
  <c r="C16" i="5"/>
  <c r="G16" i="5" s="1"/>
  <c r="C15" i="5"/>
  <c r="G15" i="5" s="1"/>
  <c r="C12" i="5"/>
  <c r="G12" i="5" s="1"/>
  <c r="C11" i="5"/>
  <c r="C10" i="5"/>
  <c r="J31" i="4"/>
  <c r="K31" i="4"/>
  <c r="L31" i="4"/>
  <c r="M31" i="4"/>
  <c r="N31" i="4"/>
  <c r="O31" i="4"/>
  <c r="O32" i="4" s="1"/>
  <c r="P31" i="4"/>
  <c r="Q31" i="4"/>
  <c r="R31" i="4"/>
  <c r="R32" i="4" s="1"/>
  <c r="S31" i="4"/>
  <c r="T31" i="4"/>
  <c r="U31" i="4"/>
  <c r="V31" i="4"/>
  <c r="W31" i="4"/>
  <c r="X30" i="4"/>
  <c r="X29" i="4"/>
  <c r="X28" i="4"/>
  <c r="C30" i="4"/>
  <c r="C28" i="4"/>
  <c r="K32" i="4"/>
  <c r="S32" i="4"/>
  <c r="C23" i="4"/>
  <c r="F23" i="4" s="1"/>
  <c r="C22" i="4"/>
  <c r="F22" i="4" s="1"/>
  <c r="C20" i="4"/>
  <c r="F20" i="4" s="1"/>
  <c r="C19" i="4"/>
  <c r="F19" i="4" s="1"/>
  <c r="C18" i="4"/>
  <c r="F18" i="4" s="1"/>
  <c r="C17" i="4"/>
  <c r="F17" i="4" s="1"/>
  <c r="C16" i="4"/>
  <c r="C15" i="4"/>
  <c r="F15" i="4" s="1"/>
  <c r="C14" i="4"/>
  <c r="F14" i="4" s="1"/>
  <c r="C13" i="4"/>
  <c r="F13" i="4" s="1"/>
  <c r="C10" i="4"/>
  <c r="F10" i="4" s="1"/>
  <c r="C9" i="4"/>
  <c r="F9" i="4" s="1"/>
  <c r="AD30" i="2"/>
  <c r="M132" i="2"/>
  <c r="M130" i="2"/>
  <c r="M128" i="2"/>
  <c r="C133" i="2"/>
  <c r="C131" i="2"/>
  <c r="C129" i="2"/>
  <c r="C127" i="2"/>
  <c r="N37" i="2"/>
  <c r="AD37" i="2" s="1"/>
  <c r="N43" i="2"/>
  <c r="AD43" i="2" s="1"/>
  <c r="N44" i="2"/>
  <c r="AD44" i="2" s="1"/>
  <c r="N45" i="2"/>
  <c r="AD45" i="2" s="1"/>
  <c r="N46" i="2"/>
  <c r="AD46" i="2" s="1"/>
  <c r="N47" i="2"/>
  <c r="AD47" i="2" s="1"/>
  <c r="N49" i="2"/>
  <c r="AD49" i="2" s="1"/>
  <c r="N53" i="2"/>
  <c r="AD53" i="2" s="1"/>
  <c r="N55" i="2"/>
  <c r="AD55" i="2" s="1"/>
  <c r="N57" i="2"/>
  <c r="AD57" i="2" s="1"/>
  <c r="N58" i="2"/>
  <c r="AD58" i="2" s="1"/>
  <c r="N63" i="2"/>
  <c r="AD63" i="2" s="1"/>
  <c r="N65" i="2"/>
  <c r="AD65" i="2" s="1"/>
  <c r="N66" i="2"/>
  <c r="AD66" i="2" s="1"/>
  <c r="N67" i="2"/>
  <c r="AD67" i="2" s="1"/>
  <c r="N70" i="2"/>
  <c r="AD70" i="2" s="1"/>
  <c r="N71" i="2"/>
  <c r="AD71" i="2" s="1"/>
  <c r="N74" i="2"/>
  <c r="AD74" i="2" s="1"/>
  <c r="N75" i="2"/>
  <c r="AD75" i="2" s="1"/>
  <c r="N85" i="2"/>
  <c r="AD85" i="2" s="1"/>
  <c r="C59" i="2"/>
  <c r="C95" i="2"/>
  <c r="C94" i="2"/>
  <c r="C90" i="2"/>
  <c r="C89" i="2"/>
  <c r="C88" i="2"/>
  <c r="C87" i="2"/>
  <c r="C86" i="2"/>
  <c r="C84" i="2"/>
  <c r="C83" i="2"/>
  <c r="C82" i="2"/>
  <c r="C81" i="2"/>
  <c r="C80" i="2"/>
  <c r="C78" i="2"/>
  <c r="C77" i="2"/>
  <c r="C76" i="2"/>
  <c r="C73" i="2"/>
  <c r="C72" i="2"/>
  <c r="C69" i="2"/>
  <c r="C68" i="2"/>
  <c r="C64" i="2"/>
  <c r="C62" i="2"/>
  <c r="C61" i="2"/>
  <c r="C60" i="2"/>
  <c r="C56" i="2"/>
  <c r="C54" i="2"/>
  <c r="C52" i="2"/>
  <c r="C51" i="2"/>
  <c r="C50" i="2"/>
  <c r="C48" i="2"/>
  <c r="C42" i="2"/>
  <c r="C41" i="2"/>
  <c r="C40" i="2"/>
  <c r="C39" i="2"/>
  <c r="C38" i="2"/>
  <c r="C36" i="2"/>
  <c r="C35" i="2"/>
  <c r="C34" i="2"/>
  <c r="C33" i="2"/>
  <c r="C32" i="2"/>
  <c r="M9" i="2"/>
  <c r="M10" i="2"/>
  <c r="N10" i="2" s="1"/>
  <c r="AD10" i="2" s="1"/>
  <c r="M13" i="2"/>
  <c r="N13" i="2" s="1"/>
  <c r="AD13" i="2" s="1"/>
  <c r="M18" i="2"/>
  <c r="N18" i="2" s="1"/>
  <c r="AD18" i="2" s="1"/>
  <c r="M21" i="2"/>
  <c r="N21" i="2" s="1"/>
  <c r="AD21" i="2" s="1"/>
  <c r="C27" i="2"/>
  <c r="C25" i="2"/>
  <c r="C24" i="2"/>
  <c r="C23" i="2"/>
  <c r="C22" i="2"/>
  <c r="C20" i="2"/>
  <c r="C19" i="2"/>
  <c r="C17" i="2"/>
  <c r="C16" i="2"/>
  <c r="C15" i="2"/>
  <c r="C14" i="2"/>
  <c r="AE14" i="2" s="1"/>
  <c r="C12" i="2"/>
  <c r="C11" i="2"/>
  <c r="C8" i="2"/>
  <c r="A3" i="4"/>
  <c r="A3" i="5" s="1"/>
  <c r="A3" i="7" s="1"/>
  <c r="A3" i="40" s="1"/>
  <c r="A3" i="39" s="1"/>
  <c r="A3" i="8" s="1"/>
  <c r="AC57" i="39" l="1"/>
  <c r="Z22" i="4"/>
  <c r="I20" i="4"/>
  <c r="Y20" i="4" s="1"/>
  <c r="Z20" i="4"/>
  <c r="Z13" i="4"/>
  <c r="Z18" i="4"/>
  <c r="Z23" i="4"/>
  <c r="F25" i="4"/>
  <c r="Z19" i="4"/>
  <c r="AD29" i="39"/>
  <c r="AD23" i="39"/>
  <c r="AD22" i="39"/>
  <c r="AD17" i="39"/>
  <c r="AD10" i="39"/>
  <c r="AD14" i="39"/>
  <c r="AD20" i="39"/>
  <c r="AC9" i="39"/>
  <c r="AD9" i="39"/>
  <c r="AE131" i="2"/>
  <c r="L131" i="2"/>
  <c r="AE133" i="2"/>
  <c r="N133" i="2"/>
  <c r="AD133" i="2" s="1"/>
  <c r="M133" i="2"/>
  <c r="C25" i="4"/>
  <c r="G30" i="4"/>
  <c r="D9" i="7"/>
  <c r="C14" i="7"/>
  <c r="M17" i="2"/>
  <c r="Z13" i="38"/>
  <c r="C91" i="2"/>
  <c r="G10" i="5"/>
  <c r="C33" i="5"/>
  <c r="Z10" i="38"/>
  <c r="Z14" i="38"/>
  <c r="C29" i="2"/>
  <c r="C96" i="2"/>
  <c r="C138" i="2"/>
  <c r="C139" i="2" s="1"/>
  <c r="H28" i="4"/>
  <c r="H31" i="4" s="1"/>
  <c r="G28" i="4"/>
  <c r="G11" i="5"/>
  <c r="Z15" i="38"/>
  <c r="F9" i="38"/>
  <c r="E16" i="38"/>
  <c r="E17" i="38" s="1"/>
  <c r="L51" i="40"/>
  <c r="L50" i="40"/>
  <c r="G51" i="40"/>
  <c r="G50" i="40"/>
  <c r="N49" i="40"/>
  <c r="W49" i="40"/>
  <c r="W32" i="4"/>
  <c r="N32" i="4"/>
  <c r="H30" i="4"/>
  <c r="I30" i="4"/>
  <c r="Y30" i="4" s="1"/>
  <c r="Z29" i="4"/>
  <c r="V32" i="4"/>
  <c r="M49" i="40"/>
  <c r="N9" i="2"/>
  <c r="AD9" i="2" s="1"/>
  <c r="H13" i="4"/>
  <c r="I13" i="4" s="1"/>
  <c r="Y13" i="4" s="1"/>
  <c r="H22" i="4"/>
  <c r="I22" i="4" s="1"/>
  <c r="Y22" i="4" s="1"/>
  <c r="I28" i="4"/>
  <c r="Y28" i="4" s="1"/>
  <c r="H18" i="4"/>
  <c r="I18" i="4" s="1"/>
  <c r="Y18" i="4" s="1"/>
  <c r="H23" i="4"/>
  <c r="H19" i="4"/>
  <c r="H20" i="4"/>
  <c r="X31" i="4"/>
  <c r="C31" i="4"/>
  <c r="J63" i="39"/>
  <c r="I63" i="39"/>
  <c r="J11" i="39"/>
  <c r="J21" i="39"/>
  <c r="J37" i="39"/>
  <c r="I60" i="39"/>
  <c r="M64" i="39"/>
  <c r="I64" i="39"/>
  <c r="J34" i="39"/>
  <c r="J38" i="39"/>
  <c r="J42" i="39"/>
  <c r="M42" i="39" s="1"/>
  <c r="AC42" i="39" s="1"/>
  <c r="M61" i="39"/>
  <c r="I61" i="39"/>
  <c r="J18" i="39"/>
  <c r="M18" i="39" s="1"/>
  <c r="AC18" i="39" s="1"/>
  <c r="J23" i="39"/>
  <c r="H44" i="39"/>
  <c r="J35" i="39"/>
  <c r="J39" i="39"/>
  <c r="M39" i="39" s="1"/>
  <c r="AC39" i="39" s="1"/>
  <c r="J62" i="39"/>
  <c r="I62" i="39"/>
  <c r="J29" i="39"/>
  <c r="M29" i="39" s="1"/>
  <c r="AC29" i="39" s="1"/>
  <c r="J65" i="39"/>
  <c r="I65" i="39"/>
  <c r="K49" i="40"/>
  <c r="AC19" i="39"/>
  <c r="N127" i="2"/>
  <c r="AD127" i="2" s="1"/>
  <c r="C16" i="38"/>
  <c r="Z30" i="4"/>
  <c r="D16" i="7"/>
  <c r="H66" i="39"/>
  <c r="N123" i="2"/>
  <c r="AD123" i="2" s="1"/>
  <c r="M123" i="2"/>
  <c r="M124" i="2" s="1"/>
  <c r="N130" i="2"/>
  <c r="AD130" i="2" s="1"/>
  <c r="M131" i="2"/>
  <c r="N128" i="2"/>
  <c r="AD128" i="2" s="1"/>
  <c r="N79" i="2"/>
  <c r="AD79" i="2" s="1"/>
  <c r="A3" i="38"/>
  <c r="V49" i="40"/>
  <c r="J49" i="40"/>
  <c r="C51" i="40"/>
  <c r="Z10" i="40"/>
  <c r="Z33" i="40" s="1"/>
  <c r="H10" i="40"/>
  <c r="H9" i="40"/>
  <c r="Z38" i="40"/>
  <c r="M65" i="39"/>
  <c r="O67" i="39"/>
  <c r="O68" i="39" s="1"/>
  <c r="S67" i="39"/>
  <c r="S68" i="39" s="1"/>
  <c r="W67" i="39"/>
  <c r="W68" i="39" s="1"/>
  <c r="J28" i="39"/>
  <c r="Z67" i="39"/>
  <c r="Z68" i="39" s="1"/>
  <c r="J33" i="39"/>
  <c r="M33" i="39" s="1"/>
  <c r="AC33" i="39" s="1"/>
  <c r="C44" i="39"/>
  <c r="J43" i="39"/>
  <c r="X67" i="39"/>
  <c r="X68" i="39" s="1"/>
  <c r="J41" i="39"/>
  <c r="M41" i="39" s="1"/>
  <c r="AC41" i="39" s="1"/>
  <c r="J32" i="39"/>
  <c r="M32" i="39" s="1"/>
  <c r="AC32" i="39" s="1"/>
  <c r="J31" i="39"/>
  <c r="M31" i="39" s="1"/>
  <c r="AC31" i="39" s="1"/>
  <c r="J17" i="39"/>
  <c r="M17" i="39" s="1"/>
  <c r="AC17" i="39" s="1"/>
  <c r="M60" i="39"/>
  <c r="AB67" i="39"/>
  <c r="L67" i="39"/>
  <c r="L68" i="39" s="1"/>
  <c r="Q67" i="39"/>
  <c r="Q68" i="39" s="1"/>
  <c r="U67" i="39"/>
  <c r="U68" i="39" s="1"/>
  <c r="Y67" i="39"/>
  <c r="Y68" i="39" s="1"/>
  <c r="R67" i="39"/>
  <c r="R68" i="39" s="1"/>
  <c r="V67" i="39"/>
  <c r="V68" i="39" s="1"/>
  <c r="J60" i="39"/>
  <c r="J15" i="39"/>
  <c r="M15" i="39" s="1"/>
  <c r="AC15" i="39" s="1"/>
  <c r="J61" i="39"/>
  <c r="M62" i="39"/>
  <c r="M63" i="39"/>
  <c r="AC36" i="39"/>
  <c r="C67" i="39"/>
  <c r="P67" i="39"/>
  <c r="P68" i="39" s="1"/>
  <c r="T67" i="39"/>
  <c r="T68" i="39" s="1"/>
  <c r="J30" i="39"/>
  <c r="M30" i="39" s="1"/>
  <c r="AC30" i="39" s="1"/>
  <c r="K67" i="39"/>
  <c r="K68" i="39" s="1"/>
  <c r="J64" i="39"/>
  <c r="C26" i="39"/>
  <c r="AB8" i="39"/>
  <c r="AA67" i="39"/>
  <c r="J12" i="39"/>
  <c r="M12" i="39" s="1"/>
  <c r="AC12" i="39" s="1"/>
  <c r="J16" i="39"/>
  <c r="M16" i="39" s="1"/>
  <c r="AC16" i="39" s="1"/>
  <c r="J14" i="39"/>
  <c r="M14" i="39" s="1"/>
  <c r="AC14" i="39" s="1"/>
  <c r="J20" i="39"/>
  <c r="M20" i="39" s="1"/>
  <c r="AC20" i="39" s="1"/>
  <c r="J22" i="39"/>
  <c r="M22" i="39" s="1"/>
  <c r="AC22" i="39" s="1"/>
  <c r="AA44" i="39"/>
  <c r="J40" i="39"/>
  <c r="M40" i="39" s="1"/>
  <c r="AC40" i="39" s="1"/>
  <c r="N57" i="39"/>
  <c r="N67" i="39" s="1"/>
  <c r="H57" i="39"/>
  <c r="J8" i="39"/>
  <c r="T32" i="4"/>
  <c r="P32" i="4"/>
  <c r="L32" i="4"/>
  <c r="U32" i="4"/>
  <c r="Q32" i="4"/>
  <c r="M32" i="4"/>
  <c r="X16" i="38"/>
  <c r="X17" i="38" s="1"/>
  <c r="Z9" i="38"/>
  <c r="D16" i="38"/>
  <c r="D17" i="38" s="1"/>
  <c r="I10" i="38"/>
  <c r="Y10" i="38" s="1"/>
  <c r="I15" i="38"/>
  <c r="Y15" i="38" s="1"/>
  <c r="C17" i="38"/>
  <c r="W16" i="38"/>
  <c r="W17" i="38" s="1"/>
  <c r="Z28" i="4"/>
  <c r="Y29" i="4"/>
  <c r="N131" i="2"/>
  <c r="AD131" i="2" s="1"/>
  <c r="N132" i="2"/>
  <c r="AD132" i="2" s="1"/>
  <c r="N129" i="2"/>
  <c r="AD129" i="2" s="1"/>
  <c r="M127" i="2"/>
  <c r="A3" i="9"/>
  <c r="G25" i="4" l="1"/>
  <c r="G32" i="4" s="1"/>
  <c r="G31" i="4"/>
  <c r="H21" i="5"/>
  <c r="G21" i="5"/>
  <c r="AB26" i="39"/>
  <c r="AD8" i="39"/>
  <c r="AE94" i="2"/>
  <c r="AE77" i="2"/>
  <c r="AE42" i="2"/>
  <c r="AE20" i="2"/>
  <c r="AE89" i="2"/>
  <c r="AE64" i="2"/>
  <c r="AE35" i="2"/>
  <c r="AE76" i="2"/>
  <c r="L129" i="2"/>
  <c r="AE129" i="2"/>
  <c r="AE78" i="2"/>
  <c r="AE48" i="2"/>
  <c r="AE22" i="2"/>
  <c r="AE69" i="2"/>
  <c r="AE38" i="2"/>
  <c r="AE15" i="2"/>
  <c r="AE41" i="2"/>
  <c r="AE84" i="2"/>
  <c r="AE56" i="2"/>
  <c r="AE23" i="2"/>
  <c r="AE12" i="2"/>
  <c r="AE68" i="2"/>
  <c r="AE95" i="2"/>
  <c r="AE72" i="2"/>
  <c r="AE39" i="2"/>
  <c r="AE16" i="2"/>
  <c r="AE86" i="2"/>
  <c r="L127" i="2"/>
  <c r="AE127" i="2"/>
  <c r="AE87" i="2"/>
  <c r="AE61" i="2"/>
  <c r="AE33" i="2"/>
  <c r="K29" i="2"/>
  <c r="AE19" i="2"/>
  <c r="AE81" i="2"/>
  <c r="AE80" i="2"/>
  <c r="AE50" i="2"/>
  <c r="M23" i="2"/>
  <c r="N23" i="2" s="1"/>
  <c r="AD23" i="2" s="1"/>
  <c r="M12" i="2"/>
  <c r="N12" i="2" s="1"/>
  <c r="AD12" i="2" s="1"/>
  <c r="AE51" i="2"/>
  <c r="AE88" i="2"/>
  <c r="AE62" i="2"/>
  <c r="AE34" i="2"/>
  <c r="AE11" i="2"/>
  <c r="AE60" i="2"/>
  <c r="AE82" i="2"/>
  <c r="AE52" i="2"/>
  <c r="AE25" i="2"/>
  <c r="M19" i="2"/>
  <c r="AE32" i="2"/>
  <c r="AE59" i="2"/>
  <c r="AE73" i="2"/>
  <c r="AE40" i="2"/>
  <c r="AE17" i="2"/>
  <c r="AE90" i="2"/>
  <c r="AE36" i="2"/>
  <c r="AE83" i="2"/>
  <c r="AE54" i="2"/>
  <c r="AE27" i="2"/>
  <c r="AE24" i="2"/>
  <c r="Z31" i="4"/>
  <c r="K138" i="2"/>
  <c r="K139" i="2" s="1"/>
  <c r="M87" i="2"/>
  <c r="M77" i="2"/>
  <c r="N77" i="2" s="1"/>
  <c r="AD77" i="2" s="1"/>
  <c r="M61" i="2"/>
  <c r="M42" i="2"/>
  <c r="N42" i="2" s="1"/>
  <c r="AD42" i="2" s="1"/>
  <c r="M33" i="2"/>
  <c r="M81" i="2"/>
  <c r="I13" i="38"/>
  <c r="Y13" i="38" s="1"/>
  <c r="M83" i="2"/>
  <c r="M72" i="2"/>
  <c r="N72" i="2" s="1"/>
  <c r="AD72" i="2" s="1"/>
  <c r="M54" i="2"/>
  <c r="M39" i="2"/>
  <c r="N39" i="2" s="1"/>
  <c r="AD39" i="2" s="1"/>
  <c r="M86" i="2"/>
  <c r="AD124" i="2"/>
  <c r="N124" i="2"/>
  <c r="N138" i="2"/>
  <c r="AD138" i="2"/>
  <c r="M20" i="2"/>
  <c r="N20" i="2" s="1"/>
  <c r="AD20" i="2" s="1"/>
  <c r="N19" i="2"/>
  <c r="AD19" i="2" s="1"/>
  <c r="M89" i="2"/>
  <c r="M80" i="2"/>
  <c r="N80" i="2" s="1"/>
  <c r="AD80" i="2" s="1"/>
  <c r="M64" i="2"/>
  <c r="M50" i="2"/>
  <c r="N50" i="2" s="1"/>
  <c r="AD50" i="2" s="1"/>
  <c r="M35" i="2"/>
  <c r="M90" i="2"/>
  <c r="N90" i="2" s="1"/>
  <c r="AD90" i="2" s="1"/>
  <c r="M68" i="2"/>
  <c r="M36" i="2"/>
  <c r="N36" i="2" s="1"/>
  <c r="AD36" i="2" s="1"/>
  <c r="M95" i="2"/>
  <c r="N95" i="2" s="1"/>
  <c r="AD95" i="2" s="1"/>
  <c r="M27" i="2"/>
  <c r="M16" i="2"/>
  <c r="N16" i="2" s="1"/>
  <c r="AD16" i="2" s="1"/>
  <c r="M24" i="2"/>
  <c r="N24" i="2" s="1"/>
  <c r="AD24" i="2" s="1"/>
  <c r="E16" i="7"/>
  <c r="E17" i="7" s="1"/>
  <c r="E21" i="7" s="1"/>
  <c r="L96" i="2"/>
  <c r="K96" i="2"/>
  <c r="M82" i="2"/>
  <c r="M69" i="2"/>
  <c r="N69" i="2" s="1"/>
  <c r="AD69" i="2" s="1"/>
  <c r="M52" i="2"/>
  <c r="M38" i="2"/>
  <c r="N38" i="2" s="1"/>
  <c r="AD38" i="2" s="1"/>
  <c r="N8" i="2"/>
  <c r="AD8" i="2" s="1"/>
  <c r="K91" i="2"/>
  <c r="M32" i="2"/>
  <c r="N32" i="2" s="1"/>
  <c r="AD32" i="2" s="1"/>
  <c r="N17" i="2"/>
  <c r="AD17" i="2" s="1"/>
  <c r="D14" i="7"/>
  <c r="E14" i="7"/>
  <c r="E22" i="7" s="1"/>
  <c r="M88" i="2"/>
  <c r="N88" i="2" s="1"/>
  <c r="AD88" i="2" s="1"/>
  <c r="M78" i="2"/>
  <c r="M62" i="2"/>
  <c r="N62" i="2" s="1"/>
  <c r="AD62" i="2" s="1"/>
  <c r="M48" i="2"/>
  <c r="M34" i="2"/>
  <c r="N34" i="2" s="1"/>
  <c r="AD34" i="2" s="1"/>
  <c r="M60" i="2"/>
  <c r="F31" i="4"/>
  <c r="F32" i="4" s="1"/>
  <c r="I9" i="38"/>
  <c r="Y9" i="38" s="1"/>
  <c r="M25" i="2"/>
  <c r="N25" i="2" s="1"/>
  <c r="AD25" i="2" s="1"/>
  <c r="M15" i="2"/>
  <c r="M41" i="2"/>
  <c r="N41" i="2" s="1"/>
  <c r="AD41" i="2" s="1"/>
  <c r="I14" i="38"/>
  <c r="Y14" i="38" s="1"/>
  <c r="M59" i="2"/>
  <c r="M84" i="2"/>
  <c r="N84" i="2" s="1"/>
  <c r="AD84" i="2" s="1"/>
  <c r="M73" i="2"/>
  <c r="M56" i="2"/>
  <c r="N56" i="2" s="1"/>
  <c r="AD56" i="2" s="1"/>
  <c r="M40" i="2"/>
  <c r="M76" i="2"/>
  <c r="N76" i="2" s="1"/>
  <c r="AD76" i="2" s="1"/>
  <c r="M51" i="2"/>
  <c r="M129" i="2"/>
  <c r="M138" i="2" s="1"/>
  <c r="M139" i="2" s="1"/>
  <c r="M22" i="2"/>
  <c r="M11" i="2"/>
  <c r="N11" i="2" s="1"/>
  <c r="AD11" i="2" s="1"/>
  <c r="M14" i="2"/>
  <c r="K51" i="40"/>
  <c r="K50" i="40"/>
  <c r="J51" i="40"/>
  <c r="J50" i="40"/>
  <c r="V51" i="40"/>
  <c r="V50" i="40"/>
  <c r="W51" i="40"/>
  <c r="W50" i="40"/>
  <c r="M51" i="40"/>
  <c r="M50" i="40"/>
  <c r="N51" i="40"/>
  <c r="N50" i="40"/>
  <c r="H33" i="40"/>
  <c r="H51" i="40" s="1"/>
  <c r="I19" i="4"/>
  <c r="Y19" i="4" s="1"/>
  <c r="I31" i="4"/>
  <c r="M34" i="39"/>
  <c r="AC34" i="39" s="1"/>
  <c r="M21" i="39"/>
  <c r="AC21" i="39" s="1"/>
  <c r="I26" i="39"/>
  <c r="M35" i="39"/>
  <c r="AC35" i="39" s="1"/>
  <c r="I44" i="39"/>
  <c r="I66" i="39"/>
  <c r="I67" i="39" s="1"/>
  <c r="M23" i="39"/>
  <c r="AC23" i="39" s="1"/>
  <c r="M38" i="39"/>
  <c r="AC38" i="39" s="1"/>
  <c r="M37" i="39"/>
  <c r="AC37" i="39" s="1"/>
  <c r="M11" i="39"/>
  <c r="AC11" i="39" s="1"/>
  <c r="A4" i="10"/>
  <c r="A4" i="41" s="1"/>
  <c r="Y31" i="4"/>
  <c r="D17" i="7"/>
  <c r="D21" i="7" s="1"/>
  <c r="F16" i="7"/>
  <c r="F17" i="7" s="1"/>
  <c r="F21" i="7" s="1"/>
  <c r="AD66" i="39"/>
  <c r="M28" i="39"/>
  <c r="J44" i="39"/>
  <c r="J66" i="39"/>
  <c r="AC66" i="39"/>
  <c r="M66" i="39"/>
  <c r="J13" i="39"/>
  <c r="M13" i="39" s="1"/>
  <c r="AC13" i="39" s="1"/>
  <c r="H26" i="39"/>
  <c r="X47" i="40"/>
  <c r="I10" i="40"/>
  <c r="I9" i="40"/>
  <c r="Y38" i="40"/>
  <c r="M43" i="39"/>
  <c r="AC43" i="39" s="1"/>
  <c r="J57" i="39"/>
  <c r="H67" i="39"/>
  <c r="C68" i="39"/>
  <c r="N68" i="39"/>
  <c r="J10" i="39"/>
  <c r="M10" i="39" s="1"/>
  <c r="AC10" i="39" s="1"/>
  <c r="M57" i="39"/>
  <c r="M8" i="39"/>
  <c r="AB44" i="39"/>
  <c r="AA68" i="39"/>
  <c r="Z16" i="38"/>
  <c r="Z17" i="38" s="1"/>
  <c r="F16" i="38"/>
  <c r="F17" i="38" s="1"/>
  <c r="M94" i="2"/>
  <c r="M96" i="2" s="1"/>
  <c r="AE96" i="2" l="1"/>
  <c r="N139" i="2"/>
  <c r="N14" i="2"/>
  <c r="AD14" i="2" s="1"/>
  <c r="Y16" i="38"/>
  <c r="Y17" i="38" s="1"/>
  <c r="I16" i="38"/>
  <c r="I17" i="38" s="1"/>
  <c r="M91" i="2"/>
  <c r="M29" i="2"/>
  <c r="L29" i="2"/>
  <c r="L138" i="2"/>
  <c r="L139" i="2" s="1"/>
  <c r="N51" i="2"/>
  <c r="AD51" i="2" s="1"/>
  <c r="N73" i="2"/>
  <c r="AD73" i="2" s="1"/>
  <c r="N15" i="2"/>
  <c r="AD15" i="2" s="1"/>
  <c r="N48" i="2"/>
  <c r="AD48" i="2" s="1"/>
  <c r="AE91" i="2"/>
  <c r="N52" i="2"/>
  <c r="AD52" i="2" s="1"/>
  <c r="N27" i="2"/>
  <c r="AD27" i="2" s="1"/>
  <c r="N68" i="2"/>
  <c r="AD68" i="2" s="1"/>
  <c r="N35" i="2"/>
  <c r="AD35" i="2" s="1"/>
  <c r="N89" i="2"/>
  <c r="AD89" i="2" s="1"/>
  <c r="N86" i="2"/>
  <c r="AD86" i="2" s="1"/>
  <c r="N83" i="2"/>
  <c r="AD83" i="2" s="1"/>
  <c r="N81" i="2"/>
  <c r="AD81" i="2" s="1"/>
  <c r="AE29" i="2"/>
  <c r="N33" i="2"/>
  <c r="AD33" i="2" s="1"/>
  <c r="N87" i="2"/>
  <c r="AD87" i="2" s="1"/>
  <c r="AE138" i="2"/>
  <c r="AE139" i="2" s="1"/>
  <c r="K140" i="2"/>
  <c r="N22" i="2"/>
  <c r="AD22" i="2" s="1"/>
  <c r="N40" i="2"/>
  <c r="AD40" i="2" s="1"/>
  <c r="N59" i="2"/>
  <c r="AD59" i="2" s="1"/>
  <c r="N60" i="2"/>
  <c r="AD60" i="2" s="1"/>
  <c r="N78" i="2"/>
  <c r="AD78" i="2" s="1"/>
  <c r="L91" i="2"/>
  <c r="N82" i="2"/>
  <c r="AD82" i="2" s="1"/>
  <c r="N64" i="2"/>
  <c r="AD64" i="2" s="1"/>
  <c r="AD139" i="2"/>
  <c r="N54" i="2"/>
  <c r="AD54" i="2" s="1"/>
  <c r="N61" i="2"/>
  <c r="AD61" i="2" s="1"/>
  <c r="J67" i="39"/>
  <c r="M67" i="39"/>
  <c r="I68" i="39"/>
  <c r="Y10" i="40"/>
  <c r="Y33" i="40" s="1"/>
  <c r="I33" i="40"/>
  <c r="I51" i="40" s="1"/>
  <c r="A3" i="12"/>
  <c r="AD26" i="39"/>
  <c r="J26" i="39"/>
  <c r="AC8" i="39"/>
  <c r="AC26" i="39" s="1"/>
  <c r="M26" i="39"/>
  <c r="M44" i="39"/>
  <c r="Y47" i="40"/>
  <c r="Z47" i="40"/>
  <c r="Z49" i="40" s="1"/>
  <c r="Z51" i="40" s="1"/>
  <c r="X49" i="40"/>
  <c r="AC67" i="39"/>
  <c r="H68" i="39"/>
  <c r="AD67" i="39"/>
  <c r="AB68" i="39"/>
  <c r="AC28" i="39"/>
  <c r="AC44" i="39" s="1"/>
  <c r="N94" i="2"/>
  <c r="AD94" i="2" s="1"/>
  <c r="AD29" i="2" l="1"/>
  <c r="Y49" i="40"/>
  <c r="Y50" i="40" s="1"/>
  <c r="J68" i="39"/>
  <c r="M140" i="2"/>
  <c r="L140" i="2"/>
  <c r="AE140" i="2"/>
  <c r="AD91" i="2"/>
  <c r="N91" i="2"/>
  <c r="N29" i="2"/>
  <c r="N96" i="2"/>
  <c r="X51" i="40"/>
  <c r="X50" i="40"/>
  <c r="Z50" i="40"/>
  <c r="M68" i="39"/>
  <c r="A3" i="42"/>
  <c r="A3" i="13"/>
  <c r="AD96" i="2"/>
  <c r="AD44" i="39"/>
  <c r="AD68" i="39" s="1"/>
  <c r="AC68" i="39"/>
  <c r="AD128" i="22"/>
  <c r="AD34" i="22"/>
  <c r="N12" i="22"/>
  <c r="O12" i="22" s="1"/>
  <c r="AE12" i="22" s="1"/>
  <c r="N11" i="22"/>
  <c r="O11" i="22" s="1"/>
  <c r="AE11" i="22" s="1"/>
  <c r="N10" i="22"/>
  <c r="Y51" i="40" l="1"/>
  <c r="AD140" i="2"/>
  <c r="AD177" i="22"/>
  <c r="AD178" i="22" s="1"/>
  <c r="AF128" i="22"/>
  <c r="AF177" i="22" s="1"/>
  <c r="AF178" i="22" s="1"/>
  <c r="AD98" i="22"/>
  <c r="AD106" i="22" s="1"/>
  <c r="AF98" i="22"/>
  <c r="AF106" i="22" s="1"/>
  <c r="AE92" i="22"/>
  <c r="AE98" i="22" s="1"/>
  <c r="N140" i="2"/>
  <c r="O10" i="22"/>
  <c r="AE10" i="22" s="1"/>
  <c r="A3" i="14"/>
  <c r="A3" i="15" s="1"/>
  <c r="A3" i="30" s="1"/>
  <c r="A3" i="31" s="1"/>
  <c r="A3" i="32" s="1"/>
  <c r="A3" i="33" s="1"/>
  <c r="A3" i="16" s="1"/>
  <c r="A3" i="44"/>
  <c r="N25" i="22"/>
  <c r="O25" i="22" s="1"/>
  <c r="AE25" i="22" s="1"/>
  <c r="N8" i="22"/>
  <c r="N19" i="22"/>
  <c r="O19" i="22" s="1"/>
  <c r="AE19" i="22" s="1"/>
  <c r="N20" i="22"/>
  <c r="O20" i="22" s="1"/>
  <c r="AE20" i="22" s="1"/>
  <c r="N21" i="22"/>
  <c r="O21" i="22" s="1"/>
  <c r="AE21" i="22" s="1"/>
  <c r="N22" i="22"/>
  <c r="O22" i="22" s="1"/>
  <c r="AE22" i="22" s="1"/>
  <c r="N23" i="22"/>
  <c r="O23" i="22" s="1"/>
  <c r="AE23" i="22" s="1"/>
  <c r="N24" i="22"/>
  <c r="O24" i="22" s="1"/>
  <c r="AE24" i="22" s="1"/>
  <c r="N26" i="22"/>
  <c r="O26" i="22" s="1"/>
  <c r="AE26" i="22" s="1"/>
  <c r="N35" i="22"/>
  <c r="N88" i="22" s="1"/>
  <c r="N104" i="22"/>
  <c r="O104" i="22"/>
  <c r="AE104" i="22" s="1"/>
  <c r="M104" i="22"/>
  <c r="N128" i="22"/>
  <c r="N177" i="22" s="1"/>
  <c r="N178" i="22" s="1"/>
  <c r="O8" i="22" l="1"/>
  <c r="O33" i="22" s="1"/>
  <c r="N33" i="22"/>
  <c r="AE33" i="22"/>
  <c r="AF88" i="22"/>
  <c r="AF107" i="22" s="1"/>
  <c r="AD88" i="22"/>
  <c r="AD107" i="22" s="1"/>
  <c r="A3" i="17"/>
  <c r="A3" i="18" s="1"/>
  <c r="A3" i="19" s="1"/>
  <c r="A91" i="16"/>
  <c r="O128" i="22"/>
  <c r="N103" i="22"/>
  <c r="N105" i="22" s="1"/>
  <c r="N106" i="22" s="1"/>
  <c r="O103" i="22"/>
  <c r="M103" i="22"/>
  <c r="M105" i="22" s="1"/>
  <c r="M106" i="22" s="1"/>
  <c r="M107" i="22" s="1"/>
  <c r="O35" i="22"/>
  <c r="N107" i="22" l="1"/>
  <c r="AE103" i="22"/>
  <c r="AE105" i="22" s="1"/>
  <c r="AE106" i="22" s="1"/>
  <c r="O105" i="22"/>
  <c r="O106" i="22" s="1"/>
  <c r="AE35" i="22"/>
  <c r="AE88" i="22" s="1"/>
  <c r="O88" i="22"/>
  <c r="O177" i="22"/>
  <c r="O178" i="22" s="1"/>
  <c r="AE128" i="22"/>
  <c r="AE177" i="22" s="1"/>
  <c r="AE178" i="22" s="1"/>
  <c r="A3" i="20"/>
  <c r="AA27" i="30"/>
  <c r="AA37" i="30" s="1"/>
  <c r="AE107" i="22" l="1"/>
  <c r="O107" i="22"/>
  <c r="A3" i="21"/>
  <c r="A3" i="22" s="1"/>
  <c r="A3" i="23" l="1"/>
  <c r="A122" i="22"/>
  <c r="A3" i="24" l="1"/>
  <c r="A82" i="23"/>
  <c r="K35" i="14"/>
  <c r="A100" i="24" l="1"/>
  <c r="A3" i="25"/>
  <c r="AA56" i="17"/>
  <c r="AA55" i="17"/>
  <c r="AA58" i="17" s="1"/>
  <c r="AA65" i="17" s="1"/>
  <c r="AA54" i="17"/>
  <c r="AC54" i="17" s="1"/>
  <c r="AA49" i="17"/>
  <c r="AC49" i="17" s="1"/>
  <c r="AA47" i="17"/>
  <c r="AC47" i="17" s="1"/>
  <c r="AA46" i="17"/>
  <c r="AC46" i="17" s="1"/>
  <c r="AA45" i="17"/>
  <c r="AC45" i="17" s="1"/>
  <c r="AA44" i="17"/>
  <c r="AC44" i="17" s="1"/>
  <c r="AA43" i="17"/>
  <c r="AC43" i="17" s="1"/>
  <c r="AA42" i="17"/>
  <c r="AC42" i="17" s="1"/>
  <c r="AA41" i="17"/>
  <c r="AC41" i="17" s="1"/>
  <c r="AA40" i="17"/>
  <c r="AC40" i="17" s="1"/>
  <c r="AA39" i="17"/>
  <c r="AC39" i="17" s="1"/>
  <c r="AA38" i="17"/>
  <c r="AC38" i="17" s="1"/>
  <c r="AA37" i="17"/>
  <c r="AC37" i="17" s="1"/>
  <c r="AA36" i="17"/>
  <c r="AC36" i="17" s="1"/>
  <c r="AA35" i="17"/>
  <c r="AC35" i="17" s="1"/>
  <c r="AA34" i="17"/>
  <c r="AA8" i="17"/>
  <c r="AA30" i="17" s="1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24" i="37"/>
  <c r="Z24" i="37" s="1"/>
  <c r="J21" i="37"/>
  <c r="Z21" i="37" s="1"/>
  <c r="J19" i="37"/>
  <c r="Z19" i="37" s="1"/>
  <c r="J18" i="37"/>
  <c r="Z18" i="37" s="1"/>
  <c r="J14" i="37"/>
  <c r="Z14" i="37" s="1"/>
  <c r="J12" i="37"/>
  <c r="Z12" i="37" s="1"/>
  <c r="J11" i="37"/>
  <c r="Z11" i="37" s="1"/>
  <c r="H9" i="37"/>
  <c r="G7" i="37"/>
  <c r="G35" i="37" s="1"/>
  <c r="C36" i="37"/>
  <c r="Y8" i="26"/>
  <c r="I11" i="26"/>
  <c r="I141" i="26" s="1"/>
  <c r="I145" i="26" s="1"/>
  <c r="I146" i="26" s="1"/>
  <c r="H35" i="37" l="1"/>
  <c r="H36" i="37" s="1"/>
  <c r="AC34" i="17"/>
  <c r="AC51" i="17" s="1"/>
  <c r="AA51" i="17"/>
  <c r="AA66" i="17" s="1"/>
  <c r="AC55" i="17"/>
  <c r="AC56" i="17"/>
  <c r="AB56" i="17"/>
  <c r="AC8" i="17"/>
  <c r="AC30" i="17" s="1"/>
  <c r="A3" i="29"/>
  <c r="J11" i="26"/>
  <c r="Z11" i="26" s="1"/>
  <c r="X36" i="37"/>
  <c r="I7" i="37"/>
  <c r="G36" i="37"/>
  <c r="J7" i="37"/>
  <c r="I9" i="37"/>
  <c r="I20" i="37"/>
  <c r="J9" i="37"/>
  <c r="J20" i="37"/>
  <c r="Z20" i="37" s="1"/>
  <c r="I11" i="37"/>
  <c r="I21" i="37"/>
  <c r="I12" i="37"/>
  <c r="I18" i="37"/>
  <c r="I24" i="37"/>
  <c r="I14" i="37"/>
  <c r="I19" i="37"/>
  <c r="AB64" i="29"/>
  <c r="AD64" i="29" s="1"/>
  <c r="AB63" i="29"/>
  <c r="AD63" i="29" s="1"/>
  <c r="AB62" i="29"/>
  <c r="AD62" i="29" s="1"/>
  <c r="AB61" i="29"/>
  <c r="AD61" i="29" s="1"/>
  <c r="AB55" i="29"/>
  <c r="AD55" i="29" s="1"/>
  <c r="AB54" i="29"/>
  <c r="AD54" i="29" s="1"/>
  <c r="AB52" i="29"/>
  <c r="AD52" i="29" s="1"/>
  <c r="AB51" i="29"/>
  <c r="AB73" i="29"/>
  <c r="AD73" i="29" s="1"/>
  <c r="AB66" i="29"/>
  <c r="AD66" i="29" s="1"/>
  <c r="AB65" i="29"/>
  <c r="AD65" i="29" s="1"/>
  <c r="AB53" i="29"/>
  <c r="AD53" i="29" s="1"/>
  <c r="M73" i="29"/>
  <c r="L39" i="29"/>
  <c r="M39" i="29" s="1"/>
  <c r="AC39" i="29" s="1"/>
  <c r="L38" i="29"/>
  <c r="M38" i="29" s="1"/>
  <c r="AC38" i="29" s="1"/>
  <c r="L37" i="29"/>
  <c r="M37" i="29" s="1"/>
  <c r="AC37" i="29" s="1"/>
  <c r="L34" i="29"/>
  <c r="M34" i="29" s="1"/>
  <c r="AC34" i="29" s="1"/>
  <c r="L33" i="29"/>
  <c r="AF32" i="25"/>
  <c r="AF86" i="25"/>
  <c r="AC106" i="24"/>
  <c r="AC8" i="24"/>
  <c r="AE8" i="24" s="1"/>
  <c r="AC107" i="24"/>
  <c r="M22" i="24"/>
  <c r="N22" i="24" s="1"/>
  <c r="AD22" i="24" s="1"/>
  <c r="M19" i="24"/>
  <c r="N19" i="24" s="1"/>
  <c r="AD19" i="24" s="1"/>
  <c r="M18" i="24"/>
  <c r="N18" i="24" s="1"/>
  <c r="AD18" i="24" s="1"/>
  <c r="M15" i="24"/>
  <c r="N15" i="24" s="1"/>
  <c r="AD15" i="24" s="1"/>
  <c r="M14" i="24"/>
  <c r="N14" i="24" s="1"/>
  <c r="AD14" i="24" s="1"/>
  <c r="M13" i="24"/>
  <c r="N13" i="24" s="1"/>
  <c r="AD13" i="24" s="1"/>
  <c r="M11" i="24"/>
  <c r="N11" i="24" s="1"/>
  <c r="AD11" i="24" s="1"/>
  <c r="M10" i="24"/>
  <c r="Z87" i="23"/>
  <c r="X61" i="23"/>
  <c r="X66" i="23" s="1"/>
  <c r="X67" i="23" s="1"/>
  <c r="Y58" i="23"/>
  <c r="Y8" i="23"/>
  <c r="Z8" i="23" s="1"/>
  <c r="I61" i="23"/>
  <c r="I66" i="23" s="1"/>
  <c r="I67" i="23" s="1"/>
  <c r="J87" i="23"/>
  <c r="J134" i="23" s="1"/>
  <c r="I35" i="37" l="1"/>
  <c r="I36" i="37" s="1"/>
  <c r="Z9" i="37"/>
  <c r="Z35" i="37" s="1"/>
  <c r="J35" i="37"/>
  <c r="J36" i="37" s="1"/>
  <c r="AH86" i="25"/>
  <c r="AH93" i="25" s="1"/>
  <c r="AG86" i="25"/>
  <c r="AG93" i="25" s="1"/>
  <c r="AC58" i="17"/>
  <c r="AC65" i="17" s="1"/>
  <c r="AC66" i="17" s="1"/>
  <c r="AG32" i="25"/>
  <c r="AH32" i="25"/>
  <c r="AD51" i="29"/>
  <c r="AD70" i="29" s="1"/>
  <c r="AF93" i="25"/>
  <c r="AE107" i="24"/>
  <c r="AD107" i="24"/>
  <c r="AE106" i="24"/>
  <c r="AD106" i="24"/>
  <c r="Z134" i="23"/>
  <c r="AB87" i="23"/>
  <c r="AB134" i="23" s="1"/>
  <c r="AC73" i="29"/>
  <c r="AC137" i="24"/>
  <c r="AC138" i="24" s="1"/>
  <c r="AB122" i="29"/>
  <c r="K87" i="23"/>
  <c r="M122" i="29"/>
  <c r="AF103" i="25"/>
  <c r="A3" i="26"/>
  <c r="Z141" i="26"/>
  <c r="Z145" i="26" s="1"/>
  <c r="Z146" i="26" s="1"/>
  <c r="J141" i="26"/>
  <c r="J145" i="26" s="1"/>
  <c r="J146" i="26" s="1"/>
  <c r="AB70" i="29"/>
  <c r="AC105" i="24"/>
  <c r="AB32" i="29"/>
  <c r="AD32" i="29" s="1"/>
  <c r="Z123" i="29"/>
  <c r="Z124" i="29" s="1"/>
  <c r="L73" i="29"/>
  <c r="M33" i="29"/>
  <c r="AC33" i="29" s="1"/>
  <c r="L42" i="29"/>
  <c r="M42" i="29" s="1"/>
  <c r="AC42" i="29" s="1"/>
  <c r="L35" i="29"/>
  <c r="M35" i="29" s="1"/>
  <c r="AC35" i="29" s="1"/>
  <c r="L43" i="29"/>
  <c r="M43" i="29" s="1"/>
  <c r="AC43" i="29" s="1"/>
  <c r="L32" i="29"/>
  <c r="L36" i="29"/>
  <c r="M36" i="29" s="1"/>
  <c r="AC36" i="29" s="1"/>
  <c r="L40" i="29"/>
  <c r="M40" i="29" s="1"/>
  <c r="AC40" i="29" s="1"/>
  <c r="L45" i="29"/>
  <c r="M45" i="29" s="1"/>
  <c r="AC45" i="29" s="1"/>
  <c r="L41" i="29"/>
  <c r="M41" i="29" s="1"/>
  <c r="AC41" i="29" s="1"/>
  <c r="L46" i="29"/>
  <c r="M46" i="29" s="1"/>
  <c r="AC46" i="29" s="1"/>
  <c r="K123" i="29"/>
  <c r="K124" i="29" s="1"/>
  <c r="AF83" i="25"/>
  <c r="AE83" i="25"/>
  <c r="AE104" i="25"/>
  <c r="AD104" i="25"/>
  <c r="AD105" i="25" s="1"/>
  <c r="N79" i="24"/>
  <c r="M8" i="24"/>
  <c r="Y61" i="23"/>
  <c r="Y66" i="23" s="1"/>
  <c r="P103" i="25"/>
  <c r="AH103" i="25"/>
  <c r="AA123" i="29"/>
  <c r="AF8" i="25"/>
  <c r="AC32" i="24"/>
  <c r="AC69" i="24" s="1"/>
  <c r="AC29" i="24"/>
  <c r="Y36" i="37"/>
  <c r="M16" i="24"/>
  <c r="N16" i="24" s="1"/>
  <c r="AD16" i="24" s="1"/>
  <c r="M20" i="24"/>
  <c r="N20" i="24" s="1"/>
  <c r="AD20" i="24" s="1"/>
  <c r="M12" i="24"/>
  <c r="N12" i="24" s="1"/>
  <c r="AD12" i="24" s="1"/>
  <c r="N10" i="24"/>
  <c r="AD10" i="24" s="1"/>
  <c r="M21" i="24"/>
  <c r="N21" i="24" s="1"/>
  <c r="AD21" i="24" s="1"/>
  <c r="M17" i="24"/>
  <c r="N17" i="24" s="1"/>
  <c r="AD17" i="24" s="1"/>
  <c r="AG8" i="25" l="1"/>
  <c r="AH8" i="25"/>
  <c r="AE105" i="24"/>
  <c r="AD105" i="24"/>
  <c r="AE32" i="24"/>
  <c r="AE69" i="24" s="1"/>
  <c r="AD32" i="24"/>
  <c r="AD69" i="24" s="1"/>
  <c r="AD79" i="24"/>
  <c r="AD89" i="24" s="1"/>
  <c r="N89" i="24"/>
  <c r="K134" i="23"/>
  <c r="AA87" i="23"/>
  <c r="AA134" i="23" s="1"/>
  <c r="AD137" i="24"/>
  <c r="AD138" i="24" s="1"/>
  <c r="AE137" i="24"/>
  <c r="AE138" i="24" s="1"/>
  <c r="AF104" i="25"/>
  <c r="L47" i="29"/>
  <c r="AC91" i="24"/>
  <c r="AB47" i="29"/>
  <c r="AD47" i="29"/>
  <c r="AF30" i="25"/>
  <c r="N8" i="24"/>
  <c r="AD8" i="24" s="1"/>
  <c r="M29" i="24"/>
  <c r="M91" i="24" s="1"/>
  <c r="AE29" i="24"/>
  <c r="A3" i="36"/>
  <c r="Q103" i="25"/>
  <c r="AD122" i="29"/>
  <c r="L122" i="29"/>
  <c r="Y67" i="23"/>
  <c r="AA124" i="29"/>
  <c r="M32" i="29"/>
  <c r="AC32" i="29" s="1"/>
  <c r="AE105" i="25"/>
  <c r="AH83" i="25"/>
  <c r="Z36" i="37"/>
  <c r="AA36" i="37"/>
  <c r="AF105" i="25" l="1"/>
  <c r="AE91" i="24"/>
  <c r="N29" i="24"/>
  <c r="AC47" i="29"/>
  <c r="M47" i="29"/>
  <c r="A3" i="37"/>
  <c r="Z79" i="21"/>
  <c r="Z80" i="21" s="1"/>
  <c r="Y79" i="21"/>
  <c r="Y80" i="21" s="1"/>
  <c r="AB62" i="21"/>
  <c r="AB48" i="21"/>
  <c r="AD48" i="21" s="1"/>
  <c r="AB46" i="21"/>
  <c r="AD46" i="21" s="1"/>
  <c r="AB44" i="21"/>
  <c r="AD44" i="21" s="1"/>
  <c r="AB43" i="21"/>
  <c r="AD43" i="21" s="1"/>
  <c r="AB42" i="21"/>
  <c r="AD42" i="21" s="1"/>
  <c r="AB41" i="21"/>
  <c r="AD41" i="21" s="1"/>
  <c r="AB40" i="21"/>
  <c r="AD40" i="21" s="1"/>
  <c r="AB39" i="21"/>
  <c r="AD39" i="21" s="1"/>
  <c r="AB38" i="21"/>
  <c r="AD38" i="21" s="1"/>
  <c r="AB37" i="21"/>
  <c r="AD37" i="21" s="1"/>
  <c r="AB36" i="21"/>
  <c r="AD36" i="21" s="1"/>
  <c r="AB35" i="21"/>
  <c r="AD35" i="21" s="1"/>
  <c r="AB12" i="21"/>
  <c r="AD12" i="21" s="1"/>
  <c r="AB11" i="21"/>
  <c r="AD11" i="21" s="1"/>
  <c r="AB45" i="21"/>
  <c r="AD45" i="21" s="1"/>
  <c r="AB34" i="21"/>
  <c r="AD34" i="21" s="1"/>
  <c r="K78" i="21"/>
  <c r="L15" i="21"/>
  <c r="M15" i="21" s="1"/>
  <c r="AC15" i="21" s="1"/>
  <c r="L17" i="21"/>
  <c r="M17" i="21" s="1"/>
  <c r="AC17" i="21" s="1"/>
  <c r="L14" i="21"/>
  <c r="M14" i="21" s="1"/>
  <c r="AC14" i="21" s="1"/>
  <c r="L13" i="21"/>
  <c r="M13" i="21" s="1"/>
  <c r="AC13" i="21" s="1"/>
  <c r="L12" i="21"/>
  <c r="L11" i="21"/>
  <c r="M11" i="21" s="1"/>
  <c r="L8" i="21"/>
  <c r="N75" i="20"/>
  <c r="N74" i="20"/>
  <c r="N73" i="20"/>
  <c r="N72" i="20"/>
  <c r="N45" i="20"/>
  <c r="O45" i="20" s="1"/>
  <c r="AE45" i="20" s="1"/>
  <c r="N44" i="20"/>
  <c r="O44" i="20" s="1"/>
  <c r="AE44" i="20" s="1"/>
  <c r="N43" i="20"/>
  <c r="O43" i="20" s="1"/>
  <c r="AE43" i="20" s="1"/>
  <c r="N42" i="20"/>
  <c r="O42" i="20" s="1"/>
  <c r="AE42" i="20" s="1"/>
  <c r="N41" i="20"/>
  <c r="O41" i="20" s="1"/>
  <c r="AE41" i="20" s="1"/>
  <c r="N40" i="20"/>
  <c r="O40" i="20" s="1"/>
  <c r="AE40" i="20" s="1"/>
  <c r="N39" i="20"/>
  <c r="O39" i="20" s="1"/>
  <c r="AE39" i="20" s="1"/>
  <c r="N38" i="20"/>
  <c r="O38" i="20" s="1"/>
  <c r="AE38" i="20" s="1"/>
  <c r="N37" i="20"/>
  <c r="O37" i="20" s="1"/>
  <c r="AE37" i="20" s="1"/>
  <c r="N36" i="20"/>
  <c r="O36" i="20" s="1"/>
  <c r="AE36" i="20" s="1"/>
  <c r="N35" i="20"/>
  <c r="O35" i="20" s="1"/>
  <c r="AE35" i="20" s="1"/>
  <c r="N34" i="20"/>
  <c r="AD33" i="20"/>
  <c r="AB32" i="19"/>
  <c r="AC19" i="19"/>
  <c r="AC18" i="19"/>
  <c r="AC17" i="19"/>
  <c r="AC15" i="19"/>
  <c r="AE15" i="19" s="1"/>
  <c r="AC14" i="19"/>
  <c r="AE14" i="19" s="1"/>
  <c r="AC13" i="19"/>
  <c r="AE13" i="19" s="1"/>
  <c r="AC12" i="19"/>
  <c r="AE12" i="19" s="1"/>
  <c r="AC11" i="19"/>
  <c r="AE11" i="19" s="1"/>
  <c r="AC10" i="19"/>
  <c r="AC20" i="19"/>
  <c r="AC16" i="19"/>
  <c r="M60" i="19"/>
  <c r="M59" i="19"/>
  <c r="M58" i="19"/>
  <c r="AE57" i="19"/>
  <c r="M41" i="19"/>
  <c r="N41" i="19" s="1"/>
  <c r="M40" i="19"/>
  <c r="N40" i="19" s="1"/>
  <c r="M39" i="19"/>
  <c r="N39" i="19" s="1"/>
  <c r="M38" i="19"/>
  <c r="N38" i="19" s="1"/>
  <c r="M37" i="19"/>
  <c r="N37" i="19" s="1"/>
  <c r="M36" i="19"/>
  <c r="N36" i="19" s="1"/>
  <c r="M34" i="19"/>
  <c r="N34" i="19" s="1"/>
  <c r="M33" i="19"/>
  <c r="N15" i="19"/>
  <c r="N14" i="19"/>
  <c r="N13" i="19"/>
  <c r="AD13" i="19" s="1"/>
  <c r="M12" i="19"/>
  <c r="N12" i="19" s="1"/>
  <c r="AD12" i="19" s="1"/>
  <c r="M11" i="19"/>
  <c r="M8" i="19"/>
  <c r="K22" i="18"/>
  <c r="AA22" i="18" s="1"/>
  <c r="K19" i="18"/>
  <c r="AA19" i="18" s="1"/>
  <c r="K18" i="18"/>
  <c r="AA18" i="18" s="1"/>
  <c r="K15" i="18"/>
  <c r="AA15" i="18" s="1"/>
  <c r="K14" i="18"/>
  <c r="AA14" i="18" s="1"/>
  <c r="K13" i="18"/>
  <c r="AA13" i="18" s="1"/>
  <c r="K12" i="18"/>
  <c r="AA12" i="18" s="1"/>
  <c r="K55" i="17"/>
  <c r="K58" i="17" s="1"/>
  <c r="K65" i="17" s="1"/>
  <c r="K54" i="17"/>
  <c r="K47" i="17"/>
  <c r="L47" i="17" s="1"/>
  <c r="AB47" i="17" s="1"/>
  <c r="K46" i="17"/>
  <c r="L46" i="17" s="1"/>
  <c r="AB46" i="17" s="1"/>
  <c r="K44" i="17"/>
  <c r="L44" i="17" s="1"/>
  <c r="AB44" i="17" s="1"/>
  <c r="K43" i="17"/>
  <c r="L43" i="17" s="1"/>
  <c r="AB43" i="17" s="1"/>
  <c r="K42" i="17"/>
  <c r="L42" i="17" s="1"/>
  <c r="AB42" i="17" s="1"/>
  <c r="K40" i="17"/>
  <c r="L40" i="17" s="1"/>
  <c r="AB40" i="17" s="1"/>
  <c r="K39" i="17"/>
  <c r="L39" i="17" s="1"/>
  <c r="AB39" i="17" s="1"/>
  <c r="K38" i="17"/>
  <c r="K36" i="17"/>
  <c r="L36" i="17" s="1"/>
  <c r="AB36" i="17" s="1"/>
  <c r="K35" i="17"/>
  <c r="L35" i="17" s="1"/>
  <c r="AB35" i="17" s="1"/>
  <c r="K34" i="17"/>
  <c r="L38" i="17"/>
  <c r="AB38" i="17" s="1"/>
  <c r="K8" i="17"/>
  <c r="K30" i="17" s="1"/>
  <c r="AB58" i="16"/>
  <c r="AB57" i="16"/>
  <c r="K106" i="16"/>
  <c r="AA106" i="16" s="1"/>
  <c r="K102" i="16"/>
  <c r="AA102" i="16" s="1"/>
  <c r="J12" i="16"/>
  <c r="K12" i="16" s="1"/>
  <c r="AA12" i="16" s="1"/>
  <c r="J11" i="16"/>
  <c r="F20" i="33"/>
  <c r="G14" i="33"/>
  <c r="H14" i="33" s="1"/>
  <c r="G13" i="33"/>
  <c r="H13" i="33" s="1"/>
  <c r="G9" i="33"/>
  <c r="H9" i="33" s="1"/>
  <c r="U20" i="33"/>
  <c r="W15" i="33"/>
  <c r="Y15" i="33" s="1"/>
  <c r="W14" i="33"/>
  <c r="Y14" i="33" s="1"/>
  <c r="W12" i="33"/>
  <c r="Y12" i="33" s="1"/>
  <c r="W10" i="33"/>
  <c r="Y10" i="33" s="1"/>
  <c r="W9" i="33"/>
  <c r="W13" i="33"/>
  <c r="W11" i="33"/>
  <c r="Y11" i="33" s="1"/>
  <c r="V32" i="32"/>
  <c r="U32" i="32"/>
  <c r="T32" i="32"/>
  <c r="S32" i="32"/>
  <c r="R32" i="32"/>
  <c r="Q32" i="32"/>
  <c r="P32" i="32"/>
  <c r="O32" i="32"/>
  <c r="N32" i="32"/>
  <c r="M32" i="32"/>
  <c r="L32" i="32"/>
  <c r="K32" i="32"/>
  <c r="J32" i="32"/>
  <c r="G32" i="32"/>
  <c r="X9" i="32"/>
  <c r="Z9" i="32" s="1"/>
  <c r="X8" i="32"/>
  <c r="Z8" i="32" s="1"/>
  <c r="X10" i="32"/>
  <c r="Z10" i="32" s="1"/>
  <c r="H14" i="32"/>
  <c r="I14" i="32" s="1"/>
  <c r="Y14" i="32" s="1"/>
  <c r="H12" i="32"/>
  <c r="I12" i="32" s="1"/>
  <c r="Y12" i="32" s="1"/>
  <c r="H11" i="32"/>
  <c r="I11" i="32" s="1"/>
  <c r="Y11" i="32" s="1"/>
  <c r="H10" i="32"/>
  <c r="I10" i="32" s="1"/>
  <c r="Y10" i="32" s="1"/>
  <c r="H9" i="32"/>
  <c r="Z12" i="31"/>
  <c r="Z9" i="31"/>
  <c r="Z8" i="31"/>
  <c r="AB8" i="31" s="1"/>
  <c r="Z11" i="31"/>
  <c r="Z10" i="31"/>
  <c r="AB10" i="31" s="1"/>
  <c r="H8" i="31"/>
  <c r="J16" i="30"/>
  <c r="M16" i="30" s="1"/>
  <c r="J15" i="30"/>
  <c r="M15" i="30" s="1"/>
  <c r="J14" i="30"/>
  <c r="M14" i="30" s="1"/>
  <c r="J13" i="30"/>
  <c r="M13" i="30" s="1"/>
  <c r="J12" i="30"/>
  <c r="M12" i="30" s="1"/>
  <c r="J11" i="30"/>
  <c r="M11" i="30" s="1"/>
  <c r="J10" i="30"/>
  <c r="M10" i="30" s="1"/>
  <c r="J9" i="30"/>
  <c r="M9" i="30" s="1"/>
  <c r="AB16" i="30"/>
  <c r="AD16" i="30" s="1"/>
  <c r="AB15" i="30"/>
  <c r="AD15" i="30" s="1"/>
  <c r="AB14" i="30"/>
  <c r="AD14" i="30" s="1"/>
  <c r="AB13" i="30"/>
  <c r="AD13" i="30" s="1"/>
  <c r="AB12" i="30"/>
  <c r="AD12" i="30" s="1"/>
  <c r="AB11" i="30"/>
  <c r="AD11" i="30" s="1"/>
  <c r="AB10" i="30"/>
  <c r="AD10" i="30" s="1"/>
  <c r="AB9" i="30"/>
  <c r="AD9" i="30" s="1"/>
  <c r="AB8" i="30"/>
  <c r="AD8" i="30" s="1"/>
  <c r="X25" i="15"/>
  <c r="X54" i="15" s="1"/>
  <c r="AA8" i="15"/>
  <c r="W56" i="14"/>
  <c r="W57" i="14" s="1"/>
  <c r="I49" i="14"/>
  <c r="I55" i="14" s="1"/>
  <c r="H56" i="14"/>
  <c r="H57" i="14" s="1"/>
  <c r="J55" i="14"/>
  <c r="I8" i="14"/>
  <c r="J8" i="14" s="1"/>
  <c r="AD14" i="19" l="1"/>
  <c r="AD15" i="19"/>
  <c r="K96" i="16"/>
  <c r="AB11" i="31"/>
  <c r="AA11" i="31"/>
  <c r="AB9" i="31"/>
  <c r="AA9" i="31"/>
  <c r="AA10" i="31"/>
  <c r="AB12" i="31"/>
  <c r="AA12" i="31"/>
  <c r="AC9" i="30"/>
  <c r="AC11" i="30"/>
  <c r="AC15" i="30"/>
  <c r="M31" i="19"/>
  <c r="AD10" i="19"/>
  <c r="AE10" i="19"/>
  <c r="AE19" i="19"/>
  <c r="AD19" i="19"/>
  <c r="AC11" i="21"/>
  <c r="AC39" i="21"/>
  <c r="AC43" i="21"/>
  <c r="AC12" i="30"/>
  <c r="AC16" i="30"/>
  <c r="AC45" i="21"/>
  <c r="AC36" i="21"/>
  <c r="AC44" i="21"/>
  <c r="AE16" i="19"/>
  <c r="AD16" i="19"/>
  <c r="AE17" i="19"/>
  <c r="AD17" i="19"/>
  <c r="AC37" i="21"/>
  <c r="AC41" i="21"/>
  <c r="AC46" i="21"/>
  <c r="AC13" i="30"/>
  <c r="AC10" i="30"/>
  <c r="AC14" i="30"/>
  <c r="AE20" i="19"/>
  <c r="AD20" i="19"/>
  <c r="AE18" i="19"/>
  <c r="AD18" i="19"/>
  <c r="O34" i="20"/>
  <c r="N58" i="20"/>
  <c r="N77" i="20"/>
  <c r="N78" i="20" s="1"/>
  <c r="AC38" i="21"/>
  <c r="AC42" i="21"/>
  <c r="AC48" i="21"/>
  <c r="A6" i="45"/>
  <c r="X20" i="32"/>
  <c r="X32" i="32" s="1"/>
  <c r="AB61" i="21"/>
  <c r="AD61" i="21" s="1"/>
  <c r="W8" i="33"/>
  <c r="V19" i="33"/>
  <c r="V20" i="33" s="1"/>
  <c r="X55" i="14"/>
  <c r="AA78" i="21"/>
  <c r="N11" i="19"/>
  <c r="AD11" i="19" s="1"/>
  <c r="Y55" i="14"/>
  <c r="Z13" i="31"/>
  <c r="Y17" i="31"/>
  <c r="Y27" i="31" s="1"/>
  <c r="AB57" i="21"/>
  <c r="AA57" i="21"/>
  <c r="M8" i="21"/>
  <c r="AB8" i="21"/>
  <c r="AD8" i="21" s="1"/>
  <c r="AA32" i="21"/>
  <c r="L78" i="21"/>
  <c r="L34" i="21"/>
  <c r="L18" i="21"/>
  <c r="M18" i="21" s="1"/>
  <c r="AC18" i="21" s="1"/>
  <c r="L16" i="21"/>
  <c r="M16" i="21" s="1"/>
  <c r="AC16" i="21" s="1"/>
  <c r="N8" i="20"/>
  <c r="N31" i="20" s="1"/>
  <c r="N33" i="19"/>
  <c r="N8" i="19"/>
  <c r="M42" i="19"/>
  <c r="N42" i="19" s="1"/>
  <c r="M57" i="19"/>
  <c r="M61" i="19" s="1"/>
  <c r="M35" i="19"/>
  <c r="N35" i="19" s="1"/>
  <c r="K11" i="18"/>
  <c r="AA11" i="18" s="1"/>
  <c r="K10" i="18"/>
  <c r="AA10" i="18" s="1"/>
  <c r="L34" i="17"/>
  <c r="L8" i="17"/>
  <c r="L30" i="17" s="1"/>
  <c r="L54" i="17"/>
  <c r="AB54" i="17" s="1"/>
  <c r="L55" i="17"/>
  <c r="L58" i="17" s="1"/>
  <c r="L65" i="17" s="1"/>
  <c r="K11" i="16"/>
  <c r="AA11" i="16" s="1"/>
  <c r="G10" i="33"/>
  <c r="H10" i="33" s="1"/>
  <c r="Y9" i="33"/>
  <c r="Y13" i="33"/>
  <c r="G11" i="33"/>
  <c r="H11" i="33" s="1"/>
  <c r="G15" i="33"/>
  <c r="H15" i="33" s="1"/>
  <c r="G8" i="33"/>
  <c r="G12" i="33"/>
  <c r="H12" i="33" s="1"/>
  <c r="E20" i="33"/>
  <c r="H8" i="32"/>
  <c r="I9" i="32"/>
  <c r="Y9" i="32" s="1"/>
  <c r="F32" i="32"/>
  <c r="H13" i="32"/>
  <c r="I13" i="32" s="1"/>
  <c r="Y13" i="32" s="1"/>
  <c r="K8" i="31"/>
  <c r="AB27" i="30"/>
  <c r="AB37" i="30" s="1"/>
  <c r="J8" i="30"/>
  <c r="J27" i="30" s="1"/>
  <c r="J37" i="30" s="1"/>
  <c r="Y9" i="15"/>
  <c r="AA7" i="15"/>
  <c r="I9" i="15"/>
  <c r="G35" i="14"/>
  <c r="Y35" i="14"/>
  <c r="X35" i="14"/>
  <c r="K16" i="18"/>
  <c r="AA16" i="18" s="1"/>
  <c r="K20" i="18"/>
  <c r="AA20" i="18" s="1"/>
  <c r="K17" i="18"/>
  <c r="AA17" i="18" s="1"/>
  <c r="K21" i="18"/>
  <c r="AA21" i="18" s="1"/>
  <c r="W32" i="32"/>
  <c r="AD8" i="20"/>
  <c r="AD31" i="20" s="1"/>
  <c r="M12" i="21"/>
  <c r="AC12" i="21" s="1"/>
  <c r="J15" i="16"/>
  <c r="K15" i="16" s="1"/>
  <c r="AA15" i="16" s="1"/>
  <c r="J19" i="16"/>
  <c r="K19" i="16" s="1"/>
  <c r="AA19" i="16" s="1"/>
  <c r="J23" i="16"/>
  <c r="K23" i="16" s="1"/>
  <c r="AA23" i="16" s="1"/>
  <c r="K99" i="16"/>
  <c r="AA99" i="16" s="1"/>
  <c r="K103" i="16"/>
  <c r="AA103" i="16" s="1"/>
  <c r="J16" i="16"/>
  <c r="K16" i="16" s="1"/>
  <c r="AA16" i="16" s="1"/>
  <c r="J20" i="16"/>
  <c r="K20" i="16" s="1"/>
  <c r="AA20" i="16" s="1"/>
  <c r="J24" i="16"/>
  <c r="K24" i="16" s="1"/>
  <c r="AA24" i="16" s="1"/>
  <c r="K100" i="16"/>
  <c r="AA100" i="16" s="1"/>
  <c r="K104" i="16"/>
  <c r="AA104" i="16" s="1"/>
  <c r="J13" i="16"/>
  <c r="K13" i="16" s="1"/>
  <c r="AA13" i="16" s="1"/>
  <c r="J17" i="16"/>
  <c r="K17" i="16" s="1"/>
  <c r="AA17" i="16" s="1"/>
  <c r="J21" i="16"/>
  <c r="K21" i="16" s="1"/>
  <c r="AA21" i="16" s="1"/>
  <c r="K95" i="16"/>
  <c r="AA95" i="16" s="1"/>
  <c r="K101" i="16"/>
  <c r="AA101" i="16" s="1"/>
  <c r="K105" i="16"/>
  <c r="AA105" i="16" s="1"/>
  <c r="J14" i="16"/>
  <c r="K14" i="16" s="1"/>
  <c r="AA14" i="16" s="1"/>
  <c r="J18" i="16"/>
  <c r="K18" i="16" s="1"/>
  <c r="AA18" i="16" s="1"/>
  <c r="J22" i="16"/>
  <c r="K22" i="16" s="1"/>
  <c r="AA22" i="16" s="1"/>
  <c r="K37" i="17"/>
  <c r="L37" i="17" s="1"/>
  <c r="AB37" i="17" s="1"/>
  <c r="K41" i="17"/>
  <c r="L41" i="17" s="1"/>
  <c r="AB41" i="17" s="1"/>
  <c r="K45" i="17"/>
  <c r="L45" i="17" s="1"/>
  <c r="AB45" i="17" s="1"/>
  <c r="K49" i="17"/>
  <c r="L49" i="17" s="1"/>
  <c r="AB49" i="17" s="1"/>
  <c r="K51" i="17" l="1"/>
  <c r="K66" i="17" s="1"/>
  <c r="AD78" i="21"/>
  <c r="AB34" i="17"/>
  <c r="AB51" i="17" s="1"/>
  <c r="L51" i="17"/>
  <c r="L66" i="17" s="1"/>
  <c r="J116" i="16"/>
  <c r="AA96" i="16"/>
  <c r="AC8" i="21"/>
  <c r="Z17" i="31"/>
  <c r="Z27" i="31" s="1"/>
  <c r="AB13" i="31"/>
  <c r="AB17" i="31" s="1"/>
  <c r="AB27" i="31" s="1"/>
  <c r="AA13" i="31"/>
  <c r="AD79" i="20"/>
  <c r="AF8" i="20"/>
  <c r="AF31" i="20" s="1"/>
  <c r="AF79" i="20" s="1"/>
  <c r="AD8" i="19"/>
  <c r="N49" i="19"/>
  <c r="N79" i="20"/>
  <c r="AB78" i="21"/>
  <c r="M49" i="19"/>
  <c r="AB65" i="21"/>
  <c r="AE34" i="20"/>
  <c r="AE58" i="20" s="1"/>
  <c r="O58" i="20"/>
  <c r="AB55" i="17"/>
  <c r="I8" i="32"/>
  <c r="H20" i="32"/>
  <c r="AA79" i="21"/>
  <c r="AA80" i="21" s="1"/>
  <c r="Z20" i="32"/>
  <c r="Z32" i="32" s="1"/>
  <c r="H8" i="33"/>
  <c r="H19" i="33" s="1"/>
  <c r="H20" i="33" s="1"/>
  <c r="G19" i="33"/>
  <c r="G20" i="33" s="1"/>
  <c r="Y8" i="33"/>
  <c r="Y19" i="33" s="1"/>
  <c r="Y20" i="33" s="1"/>
  <c r="W19" i="33"/>
  <c r="AD27" i="30"/>
  <c r="AD37" i="30" s="1"/>
  <c r="L32" i="21"/>
  <c r="O8" i="20"/>
  <c r="J30" i="16"/>
  <c r="H32" i="32"/>
  <c r="H17" i="31"/>
  <c r="H27" i="31" s="1"/>
  <c r="K17" i="31"/>
  <c r="K27" i="31" s="1"/>
  <c r="M8" i="30"/>
  <c r="AC8" i="30" s="1"/>
  <c r="Y25" i="15"/>
  <c r="Y54" i="15" s="1"/>
  <c r="AA9" i="15"/>
  <c r="AA25" i="15" s="1"/>
  <c r="AA54" i="15" s="1"/>
  <c r="J9" i="15"/>
  <c r="J25" i="15" s="1"/>
  <c r="J54" i="15" s="1"/>
  <c r="I25" i="15"/>
  <c r="I54" i="15" s="1"/>
  <c r="J35" i="14"/>
  <c r="I35" i="14"/>
  <c r="K34" i="18"/>
  <c r="K94" i="16"/>
  <c r="AA94" i="16" s="1"/>
  <c r="AB79" i="21" l="1"/>
  <c r="K116" i="16"/>
  <c r="AA116" i="16"/>
  <c r="AB58" i="17"/>
  <c r="AB65" i="17" s="1"/>
  <c r="AE8" i="20"/>
  <c r="AE31" i="20" s="1"/>
  <c r="AE79" i="20" s="1"/>
  <c r="O31" i="20"/>
  <c r="O79" i="20" s="1"/>
  <c r="AA34" i="18"/>
  <c r="AA49" i="18" s="1"/>
  <c r="K49" i="18"/>
  <c r="I20" i="32"/>
  <c r="I32" i="32" s="1"/>
  <c r="Y8" i="32"/>
  <c r="M27" i="30"/>
  <c r="M37" i="30" s="1"/>
  <c r="Y16" i="13"/>
  <c r="Y15" i="13"/>
  <c r="Y14" i="13"/>
  <c r="Y13" i="13"/>
  <c r="Y12" i="13"/>
  <c r="Y11" i="13"/>
  <c r="Y10" i="13"/>
  <c r="Y9" i="13"/>
  <c r="I39" i="13"/>
  <c r="J39" i="13" s="1"/>
  <c r="Z39" i="13" s="1"/>
  <c r="I38" i="13"/>
  <c r="J38" i="13" s="1"/>
  <c r="Z38" i="13" s="1"/>
  <c r="I36" i="13"/>
  <c r="J36" i="13" s="1"/>
  <c r="Z36" i="13" s="1"/>
  <c r="I33" i="13"/>
  <c r="J33" i="13" s="1"/>
  <c r="Z33" i="13" s="1"/>
  <c r="I30" i="13"/>
  <c r="J30" i="13" s="1"/>
  <c r="Z30" i="13" s="1"/>
  <c r="I29" i="13"/>
  <c r="J29" i="13" s="1"/>
  <c r="Z29" i="13" s="1"/>
  <c r="I26" i="13"/>
  <c r="J26" i="13" s="1"/>
  <c r="Z26" i="13" s="1"/>
  <c r="I25" i="13"/>
  <c r="J25" i="13" s="1"/>
  <c r="Z25" i="13" s="1"/>
  <c r="I20" i="13"/>
  <c r="J20" i="13" s="1"/>
  <c r="Z20" i="13" s="1"/>
  <c r="I19" i="13"/>
  <c r="J19" i="13" s="1"/>
  <c r="Z19" i="13" s="1"/>
  <c r="J17" i="13"/>
  <c r="I16" i="13"/>
  <c r="J16" i="13" s="1"/>
  <c r="I14" i="13"/>
  <c r="J14" i="13" s="1"/>
  <c r="I13" i="13"/>
  <c r="J13" i="13" s="1"/>
  <c r="I12" i="13"/>
  <c r="J12" i="13" s="1"/>
  <c r="I9" i="13"/>
  <c r="J9" i="13" s="1"/>
  <c r="Y8" i="13" l="1"/>
  <c r="Y17" i="13"/>
  <c r="AA10" i="13"/>
  <c r="AA15" i="13"/>
  <c r="AA11" i="13"/>
  <c r="I11" i="13"/>
  <c r="J11" i="13" s="1"/>
  <c r="I15" i="13"/>
  <c r="J15" i="13" s="1"/>
  <c r="I18" i="13"/>
  <c r="J18" i="13" s="1"/>
  <c r="Z18" i="13" s="1"/>
  <c r="I22" i="13"/>
  <c r="J22" i="13" s="1"/>
  <c r="Z22" i="13" s="1"/>
  <c r="I24" i="13"/>
  <c r="J24" i="13" s="1"/>
  <c r="Z24" i="13" s="1"/>
  <c r="I27" i="13"/>
  <c r="J27" i="13" s="1"/>
  <c r="Z27" i="13" s="1"/>
  <c r="I31" i="13"/>
  <c r="J31" i="13" s="1"/>
  <c r="Z31" i="13" s="1"/>
  <c r="I34" i="13"/>
  <c r="J34" i="13" s="1"/>
  <c r="Z34" i="13" s="1"/>
  <c r="I37" i="13"/>
  <c r="J37" i="13" s="1"/>
  <c r="Z37" i="13" s="1"/>
  <c r="I40" i="13"/>
  <c r="J40" i="13" s="1"/>
  <c r="Z40" i="13" s="1"/>
  <c r="AA12" i="13"/>
  <c r="AA16" i="13"/>
  <c r="I23" i="13"/>
  <c r="J23" i="13" s="1"/>
  <c r="Z23" i="13" s="1"/>
  <c r="I28" i="13"/>
  <c r="J28" i="13" s="1"/>
  <c r="Z28" i="13" s="1"/>
  <c r="I32" i="13"/>
  <c r="J32" i="13" s="1"/>
  <c r="Z32" i="13" s="1"/>
  <c r="I35" i="13"/>
  <c r="J35" i="13" s="1"/>
  <c r="Z35" i="13" s="1"/>
  <c r="AA13" i="13"/>
  <c r="AA14" i="13"/>
  <c r="AA17" i="13"/>
  <c r="I10" i="13"/>
  <c r="J10" i="13" s="1"/>
  <c r="AA9" i="13"/>
  <c r="I8" i="13"/>
  <c r="I42" i="13" s="1"/>
  <c r="I62" i="13" s="1"/>
  <c r="X9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H24" i="12"/>
  <c r="G24" i="12"/>
  <c r="V18" i="12"/>
  <c r="U18" i="12"/>
  <c r="U25" i="12" s="1"/>
  <c r="T18" i="12"/>
  <c r="S18" i="12"/>
  <c r="R18" i="12"/>
  <c r="R25" i="12" s="1"/>
  <c r="Q18" i="12"/>
  <c r="Q25" i="12" s="1"/>
  <c r="P18" i="12"/>
  <c r="O18" i="12"/>
  <c r="N18" i="12"/>
  <c r="N25" i="12" s="1"/>
  <c r="M18" i="12"/>
  <c r="M25" i="12" s="1"/>
  <c r="L18" i="12"/>
  <c r="L25" i="12" s="1"/>
  <c r="K18" i="12"/>
  <c r="J18" i="12"/>
  <c r="J25" i="12" s="1"/>
  <c r="G18" i="12"/>
  <c r="H16" i="12"/>
  <c r="I16" i="12" s="1"/>
  <c r="Y16" i="12" s="1"/>
  <c r="H15" i="12"/>
  <c r="I15" i="12" s="1"/>
  <c r="Y15" i="12" s="1"/>
  <c r="H14" i="12"/>
  <c r="I14" i="12" s="1"/>
  <c r="Y14" i="12" s="1"/>
  <c r="H13" i="12"/>
  <c r="I13" i="12" s="1"/>
  <c r="Y13" i="12" s="1"/>
  <c r="H12" i="12"/>
  <c r="I12" i="12" s="1"/>
  <c r="Y12" i="12" s="1"/>
  <c r="H10" i="12"/>
  <c r="I10" i="12" s="1"/>
  <c r="Y10" i="12" s="1"/>
  <c r="O25" i="12" l="1"/>
  <c r="S25" i="12"/>
  <c r="K25" i="12"/>
  <c r="P25" i="12"/>
  <c r="T25" i="12"/>
  <c r="Y42" i="13"/>
  <c r="Y62" i="13" s="1"/>
  <c r="AA8" i="13"/>
  <c r="AA42" i="13" s="1"/>
  <c r="AA62" i="13" s="1"/>
  <c r="G25" i="12"/>
  <c r="V25" i="12"/>
  <c r="J8" i="13"/>
  <c r="J42" i="13" s="1"/>
  <c r="J62" i="13" s="1"/>
  <c r="W18" i="12"/>
  <c r="W25" i="12" s="1"/>
  <c r="H11" i="12"/>
  <c r="I11" i="12" s="1"/>
  <c r="Y11" i="12" s="1"/>
  <c r="H9" i="12"/>
  <c r="Z9" i="12"/>
  <c r="X24" i="12"/>
  <c r="Z8" i="13" l="1"/>
  <c r="H18" i="12"/>
  <c r="H25" i="12" s="1"/>
  <c r="I9" i="12"/>
  <c r="I18" i="12" s="1"/>
  <c r="X35" i="10"/>
  <c r="X47" i="10" s="1"/>
  <c r="Z33" i="10"/>
  <c r="Z30" i="10"/>
  <c r="Z29" i="10"/>
  <c r="Z24" i="10"/>
  <c r="Z20" i="10"/>
  <c r="Z19" i="10"/>
  <c r="Z18" i="10"/>
  <c r="Z11" i="10"/>
  <c r="AB11" i="10" s="1"/>
  <c r="Z9" i="10"/>
  <c r="I35" i="10"/>
  <c r="I47" i="10" s="1"/>
  <c r="J30" i="10"/>
  <c r="K30" i="10" s="1"/>
  <c r="J29" i="10"/>
  <c r="K29" i="10" s="1"/>
  <c r="J24" i="10"/>
  <c r="K24" i="10" s="1"/>
  <c r="J19" i="10"/>
  <c r="K19" i="10" s="1"/>
  <c r="J18" i="10"/>
  <c r="K18" i="10" s="1"/>
  <c r="J9" i="10"/>
  <c r="K9" i="10" s="1"/>
  <c r="Z34" i="10"/>
  <c r="Z28" i="10"/>
  <c r="Z23" i="10"/>
  <c r="Z14" i="10"/>
  <c r="Z13" i="10"/>
  <c r="Z12" i="10"/>
  <c r="AB9" i="10" l="1"/>
  <c r="Y35" i="10"/>
  <c r="Y47" i="10" s="1"/>
  <c r="AB13" i="10"/>
  <c r="AB20" i="10"/>
  <c r="AB33" i="10"/>
  <c r="AB12" i="10"/>
  <c r="AB14" i="10"/>
  <c r="AB23" i="10"/>
  <c r="AB28" i="10"/>
  <c r="AB34" i="10"/>
  <c r="AA9" i="10"/>
  <c r="AB29" i="10"/>
  <c r="AB24" i="10"/>
  <c r="AB18" i="10"/>
  <c r="J27" i="10"/>
  <c r="K27" i="10" s="1"/>
  <c r="AA27" i="10" s="1"/>
  <c r="J13" i="10"/>
  <c r="K13" i="10" s="1"/>
  <c r="J20" i="10"/>
  <c r="K20" i="10" s="1"/>
  <c r="J33" i="10"/>
  <c r="K33" i="10" s="1"/>
  <c r="AB19" i="10"/>
  <c r="AB30" i="10"/>
  <c r="J12" i="10"/>
  <c r="J14" i="10"/>
  <c r="K14" i="10" s="1"/>
  <c r="J23" i="10"/>
  <c r="K23" i="10" s="1"/>
  <c r="J28" i="10"/>
  <c r="K28" i="10" s="1"/>
  <c r="J34" i="10"/>
  <c r="K34" i="10" s="1"/>
  <c r="G9" i="9"/>
  <c r="H9" i="9" s="1"/>
  <c r="G70" i="9"/>
  <c r="G80" i="9" s="1"/>
  <c r="G102" i="9" s="1"/>
  <c r="G64" i="9"/>
  <c r="H64" i="9" s="1"/>
  <c r="G63" i="9"/>
  <c r="H63" i="9" s="1"/>
  <c r="G61" i="9"/>
  <c r="H61" i="9" s="1"/>
  <c r="G57" i="9"/>
  <c r="H57" i="9" s="1"/>
  <c r="G56" i="9"/>
  <c r="H56" i="9" s="1"/>
  <c r="G54" i="9"/>
  <c r="H54" i="9" s="1"/>
  <c r="G53" i="9"/>
  <c r="H53" i="9" s="1"/>
  <c r="G52" i="9"/>
  <c r="H52" i="9" s="1"/>
  <c r="G51" i="9"/>
  <c r="H51" i="9" s="1"/>
  <c r="G36" i="9"/>
  <c r="H36" i="9" s="1"/>
  <c r="G32" i="9"/>
  <c r="H32" i="9" s="1"/>
  <c r="G29" i="9"/>
  <c r="H29" i="9" s="1"/>
  <c r="G26" i="9"/>
  <c r="H26" i="9" s="1"/>
  <c r="G20" i="9"/>
  <c r="H20" i="9" s="1"/>
  <c r="G18" i="9"/>
  <c r="H18" i="9" s="1"/>
  <c r="G16" i="9"/>
  <c r="H16" i="9" s="1"/>
  <c r="G14" i="9"/>
  <c r="H14" i="9" s="1"/>
  <c r="G13" i="9"/>
  <c r="H13" i="9" s="1"/>
  <c r="F9" i="7"/>
  <c r="I16" i="7"/>
  <c r="X17" i="4"/>
  <c r="Z17" i="4" s="1"/>
  <c r="X16" i="4"/>
  <c r="Z16" i="4" s="1"/>
  <c r="X15" i="4"/>
  <c r="Z15" i="4" s="1"/>
  <c r="X14" i="4"/>
  <c r="Z14" i="4" s="1"/>
  <c r="X12" i="4"/>
  <c r="Z12" i="4" s="1"/>
  <c r="X11" i="4"/>
  <c r="Z11" i="4" s="1"/>
  <c r="X10" i="4"/>
  <c r="Z10" i="4" s="1"/>
  <c r="X9" i="4"/>
  <c r="Z9" i="4" s="1"/>
  <c r="X8" i="4"/>
  <c r="Z8" i="4" s="1"/>
  <c r="AA20" i="5"/>
  <c r="AA18" i="5"/>
  <c r="AC18" i="5" s="1"/>
  <c r="AA17" i="5"/>
  <c r="AC17" i="5" s="1"/>
  <c r="AA15" i="5"/>
  <c r="AC15" i="5" s="1"/>
  <c r="AC13" i="5"/>
  <c r="AA19" i="5"/>
  <c r="AH68" i="8"/>
  <c r="AH66" i="8"/>
  <c r="AH65" i="8"/>
  <c r="AH61" i="8"/>
  <c r="AH67" i="8"/>
  <c r="AH9" i="8"/>
  <c r="AI9" i="8" s="1"/>
  <c r="AH54" i="8"/>
  <c r="AH53" i="8"/>
  <c r="AH49" i="8"/>
  <c r="AH48" i="8"/>
  <c r="AH47" i="8"/>
  <c r="AH46" i="8"/>
  <c r="AH45" i="8"/>
  <c r="AH44" i="8"/>
  <c r="AH43" i="8"/>
  <c r="AH41" i="8"/>
  <c r="AH36" i="8"/>
  <c r="AH35" i="8"/>
  <c r="AH34" i="8"/>
  <c r="AH19" i="8"/>
  <c r="AJ19" i="8" s="1"/>
  <c r="AH15" i="8"/>
  <c r="AJ15" i="8" s="1"/>
  <c r="AH14" i="8"/>
  <c r="AJ14" i="8" s="1"/>
  <c r="AH18" i="8"/>
  <c r="AJ18" i="8" s="1"/>
  <c r="AH17" i="8"/>
  <c r="AJ17" i="8" s="1"/>
  <c r="AH16" i="8"/>
  <c r="AJ16" i="8" s="1"/>
  <c r="T69" i="8"/>
  <c r="T86" i="8" s="1"/>
  <c r="AH40" i="8"/>
  <c r="AH39" i="8"/>
  <c r="AH37" i="8"/>
  <c r="AH30" i="8"/>
  <c r="AH33" i="8"/>
  <c r="AH23" i="8"/>
  <c r="AH22" i="8"/>
  <c r="AH21" i="8"/>
  <c r="AH20" i="8"/>
  <c r="AH13" i="8"/>
  <c r="AH11" i="8"/>
  <c r="AH10" i="8"/>
  <c r="AH8" i="8"/>
  <c r="AF26" i="8"/>
  <c r="AF87" i="8" s="1"/>
  <c r="AJ58" i="8"/>
  <c r="AJ57" i="8"/>
  <c r="AJ56" i="8"/>
  <c r="AI58" i="8"/>
  <c r="AI57" i="8"/>
  <c r="AI56" i="8"/>
  <c r="AE86" i="8"/>
  <c r="AD86" i="8"/>
  <c r="AC86" i="8"/>
  <c r="AB86" i="8"/>
  <c r="AA86" i="8"/>
  <c r="Z86" i="8"/>
  <c r="Y86" i="8"/>
  <c r="X86" i="8"/>
  <c r="W86" i="8"/>
  <c r="V86" i="8"/>
  <c r="U69" i="8"/>
  <c r="U86" i="8" s="1"/>
  <c r="R69" i="8"/>
  <c r="R86" i="8" s="1"/>
  <c r="Q69" i="8"/>
  <c r="Q86" i="8" s="1"/>
  <c r="S25" i="8"/>
  <c r="AI25" i="8" s="1"/>
  <c r="AE26" i="8"/>
  <c r="AD26" i="8"/>
  <c r="AC26" i="8"/>
  <c r="AB26" i="8"/>
  <c r="AA26" i="8"/>
  <c r="Z26" i="8"/>
  <c r="Y26" i="8"/>
  <c r="X26" i="8"/>
  <c r="W26" i="8"/>
  <c r="V26" i="8"/>
  <c r="U26" i="8"/>
  <c r="T26" i="8"/>
  <c r="R26" i="8"/>
  <c r="Q26" i="8"/>
  <c r="C26" i="8"/>
  <c r="AJ25" i="8"/>
  <c r="AJ24" i="8"/>
  <c r="P23" i="8"/>
  <c r="S23" i="8" s="1"/>
  <c r="P22" i="8"/>
  <c r="S22" i="8" s="1"/>
  <c r="P21" i="8"/>
  <c r="S21" i="8" s="1"/>
  <c r="P20" i="8"/>
  <c r="S20" i="8" s="1"/>
  <c r="P13" i="8"/>
  <c r="P12" i="8"/>
  <c r="S12" i="8" s="1"/>
  <c r="P11" i="8"/>
  <c r="S11" i="8" s="1"/>
  <c r="P10" i="8"/>
  <c r="P8" i="8"/>
  <c r="AA16" i="5"/>
  <c r="AC16" i="5" s="1"/>
  <c r="AA12" i="5"/>
  <c r="AA10" i="5"/>
  <c r="AC10" i="5" s="1"/>
  <c r="AA9" i="5"/>
  <c r="I9" i="5"/>
  <c r="K33" i="5"/>
  <c r="J33" i="5"/>
  <c r="H33" i="5"/>
  <c r="I16" i="5"/>
  <c r="L16" i="5" s="1"/>
  <c r="I15" i="5"/>
  <c r="L15" i="5" s="1"/>
  <c r="I13" i="5"/>
  <c r="L13" i="5" s="1"/>
  <c r="AB13" i="5" s="1"/>
  <c r="I12" i="5"/>
  <c r="L12" i="5" s="1"/>
  <c r="I11" i="5"/>
  <c r="L11" i="5" s="1"/>
  <c r="S8" i="8" l="1"/>
  <c r="Z25" i="4"/>
  <c r="X25" i="4"/>
  <c r="X32" i="4" s="1"/>
  <c r="AJ9" i="8"/>
  <c r="AC9" i="5"/>
  <c r="I17" i="7"/>
  <c r="I21" i="7" s="1"/>
  <c r="F103" i="9"/>
  <c r="G67" i="9"/>
  <c r="H67" i="9" s="1"/>
  <c r="I9" i="7"/>
  <c r="L9" i="5"/>
  <c r="H70" i="9"/>
  <c r="H80" i="9" s="1"/>
  <c r="H102" i="9" s="1"/>
  <c r="E80" i="9"/>
  <c r="E102" i="9" s="1"/>
  <c r="E103" i="9" s="1"/>
  <c r="AC12" i="5"/>
  <c r="P34" i="8"/>
  <c r="P38" i="8"/>
  <c r="S38" i="8" s="1"/>
  <c r="P43" i="8"/>
  <c r="P47" i="8"/>
  <c r="S47" i="8" s="1"/>
  <c r="AI47" i="8" s="1"/>
  <c r="P54" i="8"/>
  <c r="O72" i="8"/>
  <c r="O78" i="8"/>
  <c r="P39" i="8"/>
  <c r="S39" i="8" s="1"/>
  <c r="AI39" i="8" s="1"/>
  <c r="P44" i="8"/>
  <c r="P48" i="8"/>
  <c r="S48" i="8" s="1"/>
  <c r="AI48" i="8" s="1"/>
  <c r="P66" i="8"/>
  <c r="AJ73" i="8"/>
  <c r="O73" i="8"/>
  <c r="P30" i="8"/>
  <c r="S30" i="8" s="1"/>
  <c r="AI30" i="8" s="1"/>
  <c r="P36" i="8"/>
  <c r="P40" i="8"/>
  <c r="S40" i="8" s="1"/>
  <c r="AI40" i="8" s="1"/>
  <c r="P45" i="8"/>
  <c r="P49" i="8"/>
  <c r="S49" i="8" s="1"/>
  <c r="AI49" i="8" s="1"/>
  <c r="O81" i="8"/>
  <c r="P35" i="8"/>
  <c r="P33" i="8"/>
  <c r="S33" i="8" s="1"/>
  <c r="AI33" i="8" s="1"/>
  <c r="P37" i="8"/>
  <c r="P41" i="8"/>
  <c r="S41" i="8" s="1"/>
  <c r="AI41" i="8" s="1"/>
  <c r="P46" i="8"/>
  <c r="P53" i="8"/>
  <c r="S53" i="8" s="1"/>
  <c r="AI53" i="8" s="1"/>
  <c r="O76" i="8"/>
  <c r="O82" i="8"/>
  <c r="R87" i="8"/>
  <c r="X87" i="8"/>
  <c r="AB87" i="8"/>
  <c r="U87" i="8"/>
  <c r="Y87" i="8"/>
  <c r="AC87" i="8"/>
  <c r="V87" i="8"/>
  <c r="Z87" i="8"/>
  <c r="AD87" i="8"/>
  <c r="T87" i="8"/>
  <c r="Q87" i="8"/>
  <c r="W87" i="8"/>
  <c r="AA87" i="8"/>
  <c r="AE87" i="8"/>
  <c r="P28" i="8"/>
  <c r="S28" i="8" s="1"/>
  <c r="I19" i="5"/>
  <c r="L19" i="5" s="1"/>
  <c r="AC19" i="5"/>
  <c r="I20" i="5"/>
  <c r="L20" i="5" s="1"/>
  <c r="AC20" i="5"/>
  <c r="AH28" i="8"/>
  <c r="G12" i="9"/>
  <c r="H12" i="9" s="1"/>
  <c r="G17" i="9"/>
  <c r="H17" i="9" s="1"/>
  <c r="G21" i="9"/>
  <c r="H21" i="9" s="1"/>
  <c r="G35" i="9"/>
  <c r="H35" i="9" s="1"/>
  <c r="G55" i="9"/>
  <c r="H55" i="9" s="1"/>
  <c r="G58" i="9"/>
  <c r="H58" i="9" s="1"/>
  <c r="G60" i="9"/>
  <c r="H60" i="9" s="1"/>
  <c r="G62" i="9"/>
  <c r="H62" i="9" s="1"/>
  <c r="G15" i="9"/>
  <c r="H15" i="9" s="1"/>
  <c r="G19" i="9"/>
  <c r="H19" i="9" s="1"/>
  <c r="G33" i="9"/>
  <c r="H33" i="9" s="1"/>
  <c r="G37" i="9"/>
  <c r="H37" i="9" s="1"/>
  <c r="G8" i="9"/>
  <c r="G34" i="9"/>
  <c r="H34" i="9" s="1"/>
  <c r="G50" i="9"/>
  <c r="H50" i="9" s="1"/>
  <c r="G11" i="9"/>
  <c r="H11" i="9" s="1"/>
  <c r="S10" i="8"/>
  <c r="AJ30" i="8"/>
  <c r="P14" i="8"/>
  <c r="S14" i="8" s="1"/>
  <c r="AI14" i="8" s="1"/>
  <c r="AG26" i="8"/>
  <c r="AG87" i="8" s="1"/>
  <c r="AH12" i="8"/>
  <c r="AH59" i="8"/>
  <c r="AH60" i="8"/>
  <c r="P17" i="8"/>
  <c r="S17" i="8" s="1"/>
  <c r="AI17" i="8" s="1"/>
  <c r="P19" i="8"/>
  <c r="S19" i="8" s="1"/>
  <c r="AI19" i="8" s="1"/>
  <c r="S66" i="8"/>
  <c r="AI66" i="8" s="1"/>
  <c r="P81" i="8"/>
  <c r="S81" i="8"/>
  <c r="AI81" i="8" s="1"/>
  <c r="P18" i="8"/>
  <c r="S18" i="8" s="1"/>
  <c r="AI18" i="8" s="1"/>
  <c r="P24" i="8"/>
  <c r="S24" i="8" s="1"/>
  <c r="AI24" i="8" s="1"/>
  <c r="P76" i="8"/>
  <c r="P82" i="8"/>
  <c r="S76" i="8"/>
  <c r="AI76" i="8" s="1"/>
  <c r="S82" i="8"/>
  <c r="AI82" i="8" s="1"/>
  <c r="P72" i="8"/>
  <c r="P78" i="8"/>
  <c r="S72" i="8"/>
  <c r="AI72" i="8" s="1"/>
  <c r="S78" i="8"/>
  <c r="AI78" i="8" s="1"/>
  <c r="AJ72" i="8"/>
  <c r="AJ85" i="8" s="1"/>
  <c r="P16" i="8"/>
  <c r="S16" i="8" s="1"/>
  <c r="AI16" i="8" s="1"/>
  <c r="P15" i="8"/>
  <c r="S15" i="8" s="1"/>
  <c r="AI15" i="8" s="1"/>
  <c r="S73" i="8"/>
  <c r="AI73" i="8" s="1"/>
  <c r="F13" i="7"/>
  <c r="I13" i="7" s="1"/>
  <c r="F12" i="7"/>
  <c r="I12" i="7" s="1"/>
  <c r="F11" i="7"/>
  <c r="I11" i="7" s="1"/>
  <c r="F10" i="7"/>
  <c r="I10" i="7" s="1"/>
  <c r="I18" i="5"/>
  <c r="L18" i="5" s="1"/>
  <c r="G33" i="5"/>
  <c r="I10" i="5"/>
  <c r="I17" i="5"/>
  <c r="L17" i="5" s="1"/>
  <c r="AJ46" i="8"/>
  <c r="AJ36" i="8"/>
  <c r="AJ43" i="8"/>
  <c r="AJ47" i="8"/>
  <c r="AJ54" i="8"/>
  <c r="AJ35" i="8"/>
  <c r="AJ53" i="8"/>
  <c r="AJ37" i="8"/>
  <c r="AJ44" i="8"/>
  <c r="AJ48" i="8"/>
  <c r="AJ41" i="8"/>
  <c r="AJ34" i="8"/>
  <c r="AJ40" i="8"/>
  <c r="AJ49" i="8"/>
  <c r="AJ45" i="8"/>
  <c r="AB35" i="10"/>
  <c r="AB47" i="10" s="1"/>
  <c r="J35" i="10"/>
  <c r="J47" i="10" s="1"/>
  <c r="K12" i="10"/>
  <c r="K35" i="10" s="1"/>
  <c r="K47" i="10" s="1"/>
  <c r="AJ39" i="8"/>
  <c r="AJ33" i="8"/>
  <c r="AH38" i="8"/>
  <c r="AA11" i="5"/>
  <c r="AC11" i="5" s="1"/>
  <c r="AJ66" i="8"/>
  <c r="AI23" i="8"/>
  <c r="AJ23" i="8"/>
  <c r="S13" i="8"/>
  <c r="AA21" i="5" l="1"/>
  <c r="L10" i="5"/>
  <c r="I21" i="5"/>
  <c r="AH69" i="8"/>
  <c r="AH86" i="8" s="1"/>
  <c r="AC21" i="5"/>
  <c r="L21" i="5"/>
  <c r="AI85" i="8"/>
  <c r="P26" i="8"/>
  <c r="AJ28" i="8"/>
  <c r="I14" i="7"/>
  <c r="I22" i="7" s="1"/>
  <c r="H8" i="9"/>
  <c r="H65" i="9" s="1"/>
  <c r="H103" i="9" s="1"/>
  <c r="G65" i="9"/>
  <c r="G103" i="9" s="1"/>
  <c r="F14" i="7"/>
  <c r="I33" i="5"/>
  <c r="AB9" i="5"/>
  <c r="P85" i="8"/>
  <c r="S85" i="8"/>
  <c r="O85" i="8"/>
  <c r="I103" i="9"/>
  <c r="P55" i="8"/>
  <c r="S46" i="8"/>
  <c r="AI46" i="8" s="1"/>
  <c r="S37" i="8"/>
  <c r="AI37" i="8" s="1"/>
  <c r="S35" i="8"/>
  <c r="AI35" i="8" s="1"/>
  <c r="S45" i="8"/>
  <c r="AI45" i="8" s="1"/>
  <c r="S36" i="8"/>
  <c r="AI36" i="8" s="1"/>
  <c r="S44" i="8"/>
  <c r="AI44" i="8" s="1"/>
  <c r="S54" i="8"/>
  <c r="AI54" i="8" s="1"/>
  <c r="S43" i="8"/>
  <c r="AI43" i="8" s="1"/>
  <c r="S34" i="8"/>
  <c r="AI34" i="8" s="1"/>
  <c r="AI28" i="8"/>
  <c r="AJ38" i="8"/>
  <c r="AI38" i="8"/>
  <c r="J32" i="4"/>
  <c r="C32" i="4"/>
  <c r="H14" i="4"/>
  <c r="I14" i="4" s="1"/>
  <c r="Y14" i="4" s="1"/>
  <c r="H9" i="4"/>
  <c r="I9" i="4" s="1"/>
  <c r="Y9" i="4" s="1"/>
  <c r="H10" i="4" l="1"/>
  <c r="I10" i="4" s="1"/>
  <c r="Y10" i="4" s="1"/>
  <c r="I23" i="4"/>
  <c r="Y23" i="4" s="1"/>
  <c r="H11" i="4"/>
  <c r="I11" i="4" s="1"/>
  <c r="Y11" i="4" s="1"/>
  <c r="H16" i="4"/>
  <c r="I16" i="4" s="1"/>
  <c r="Y16" i="4" s="1"/>
  <c r="H15" i="4"/>
  <c r="I15" i="4" s="1"/>
  <c r="Y15" i="4" s="1"/>
  <c r="H12" i="4"/>
  <c r="I12" i="4" s="1"/>
  <c r="Y12" i="4" s="1"/>
  <c r="H17" i="4"/>
  <c r="I17" i="4" s="1"/>
  <c r="Y17" i="4" s="1"/>
  <c r="H8" i="4"/>
  <c r="J67" i="9"/>
  <c r="N104" i="25"/>
  <c r="N105" i="25" s="1"/>
  <c r="Z61" i="23"/>
  <c r="Z66" i="23" s="1"/>
  <c r="Z67" i="23" s="1"/>
  <c r="W61" i="23"/>
  <c r="W66" i="23" s="1"/>
  <c r="W67" i="23" s="1"/>
  <c r="V61" i="23"/>
  <c r="V66" i="23" s="1"/>
  <c r="V67" i="23" s="1"/>
  <c r="U61" i="23"/>
  <c r="U66" i="23" s="1"/>
  <c r="U67" i="23" s="1"/>
  <c r="T61" i="23"/>
  <c r="T66" i="23" s="1"/>
  <c r="T67" i="23" s="1"/>
  <c r="S61" i="23"/>
  <c r="S66" i="23" s="1"/>
  <c r="S67" i="23" s="1"/>
  <c r="R61" i="23"/>
  <c r="R66" i="23" s="1"/>
  <c r="R67" i="23" s="1"/>
  <c r="Q61" i="23"/>
  <c r="Q66" i="23" s="1"/>
  <c r="Q67" i="23" s="1"/>
  <c r="P61" i="23"/>
  <c r="P66" i="23" s="1"/>
  <c r="P67" i="23" s="1"/>
  <c r="O61" i="23"/>
  <c r="O66" i="23" s="1"/>
  <c r="O67" i="23" s="1"/>
  <c r="N61" i="23"/>
  <c r="N66" i="23" s="1"/>
  <c r="N67" i="23" s="1"/>
  <c r="M61" i="23"/>
  <c r="M66" i="23" s="1"/>
  <c r="M67" i="23" s="1"/>
  <c r="L61" i="23"/>
  <c r="L66" i="23" s="1"/>
  <c r="L67" i="23" s="1"/>
  <c r="X78" i="21"/>
  <c r="X79" i="21" s="1"/>
  <c r="X80" i="21" s="1"/>
  <c r="W78" i="21"/>
  <c r="W79" i="21" s="1"/>
  <c r="W80" i="21" s="1"/>
  <c r="V78" i="21"/>
  <c r="V79" i="21" s="1"/>
  <c r="V80" i="21" s="1"/>
  <c r="U78" i="21"/>
  <c r="U79" i="21" s="1"/>
  <c r="U80" i="21" s="1"/>
  <c r="T78" i="21"/>
  <c r="T79" i="21" s="1"/>
  <c r="T80" i="21" s="1"/>
  <c r="S78" i="21"/>
  <c r="S79" i="21" s="1"/>
  <c r="S80" i="21" s="1"/>
  <c r="R78" i="21"/>
  <c r="R79" i="21" s="1"/>
  <c r="R80" i="21" s="1"/>
  <c r="Q78" i="21"/>
  <c r="Q79" i="21" s="1"/>
  <c r="Q80" i="21" s="1"/>
  <c r="P78" i="21"/>
  <c r="P79" i="21" s="1"/>
  <c r="P80" i="21" s="1"/>
  <c r="O78" i="21"/>
  <c r="O79" i="21" s="1"/>
  <c r="O80" i="21" s="1"/>
  <c r="N78" i="21"/>
  <c r="N79" i="21" s="1"/>
  <c r="N80" i="21" s="1"/>
  <c r="C78" i="21"/>
  <c r="C62" i="21"/>
  <c r="J62" i="21" s="1"/>
  <c r="AD62" i="21" s="1"/>
  <c r="K61" i="21"/>
  <c r="AD51" i="19"/>
  <c r="U67" i="9" l="1"/>
  <c r="W67" i="9" s="1"/>
  <c r="Y67" i="9" s="1"/>
  <c r="H25" i="4"/>
  <c r="J65" i="21"/>
  <c r="H76" i="16"/>
  <c r="H77" i="16" s="1"/>
  <c r="AB76" i="16"/>
  <c r="AB77" i="16" s="1"/>
  <c r="J103" i="9"/>
  <c r="C65" i="21"/>
  <c r="C79" i="21" s="1"/>
  <c r="C80" i="21" s="1"/>
  <c r="C123" i="29"/>
  <c r="L55" i="29"/>
  <c r="M55" i="29"/>
  <c r="AC55" i="29" s="1"/>
  <c r="L63" i="29"/>
  <c r="M63" i="29"/>
  <c r="AC63" i="29" s="1"/>
  <c r="L52" i="29"/>
  <c r="M52" i="29"/>
  <c r="AC52" i="29" s="1"/>
  <c r="L60" i="29"/>
  <c r="M60" i="29"/>
  <c r="AC60" i="29" s="1"/>
  <c r="M53" i="29"/>
  <c r="AC53" i="29" s="1"/>
  <c r="L53" i="29"/>
  <c r="M61" i="29"/>
  <c r="AC61" i="29" s="1"/>
  <c r="L61" i="29"/>
  <c r="M65" i="29"/>
  <c r="AC65" i="29" s="1"/>
  <c r="L65" i="29"/>
  <c r="L64" i="29"/>
  <c r="M64" i="29"/>
  <c r="AC64" i="29" s="1"/>
  <c r="L54" i="29"/>
  <c r="M54" i="29"/>
  <c r="AC54" i="29" s="1"/>
  <c r="M62" i="29"/>
  <c r="AC62" i="29" s="1"/>
  <c r="L62" i="29"/>
  <c r="M66" i="29"/>
  <c r="AC66" i="29" s="1"/>
  <c r="L66" i="29"/>
  <c r="C93" i="25"/>
  <c r="C104" i="25" s="1"/>
  <c r="C105" i="25" s="1"/>
  <c r="C90" i="24"/>
  <c r="N74" i="24"/>
  <c r="AD74" i="24" s="1"/>
  <c r="K60" i="23"/>
  <c r="L62" i="21"/>
  <c r="M61" i="21"/>
  <c r="AC61" i="21" s="1"/>
  <c r="L61" i="21"/>
  <c r="M54" i="19"/>
  <c r="N54" i="19" s="1"/>
  <c r="AD54" i="19" s="1"/>
  <c r="C55" i="19"/>
  <c r="C62" i="19" s="1"/>
  <c r="C63" i="19" s="1"/>
  <c r="M53" i="19"/>
  <c r="AD53" i="19" s="1"/>
  <c r="C24" i="12"/>
  <c r="F24" i="12"/>
  <c r="F25" i="12" s="1"/>
  <c r="H32" i="4"/>
  <c r="I8" i="4"/>
  <c r="I25" i="4" s="1"/>
  <c r="J59" i="16"/>
  <c r="K59" i="16"/>
  <c r="K103" i="9"/>
  <c r="C61" i="23"/>
  <c r="J66" i="16" l="1"/>
  <c r="J76" i="16" s="1"/>
  <c r="J77" i="16" s="1"/>
  <c r="K66" i="16"/>
  <c r="K76" i="16" s="1"/>
  <c r="AA59" i="16"/>
  <c r="AA66" i="16" s="1"/>
  <c r="AA76" i="16" s="1"/>
  <c r="Y8" i="4"/>
  <c r="Y25" i="4" s="1"/>
  <c r="L65" i="21"/>
  <c r="K62" i="21"/>
  <c r="K65" i="21" s="1"/>
  <c r="K79" i="21" s="1"/>
  <c r="AD65" i="21"/>
  <c r="AD79" i="21" s="1"/>
  <c r="M62" i="21"/>
  <c r="AC62" i="21" s="1"/>
  <c r="AC65" i="21" s="1"/>
  <c r="J79" i="21"/>
  <c r="P104" i="25"/>
  <c r="P105" i="25" s="1"/>
  <c r="C66" i="23"/>
  <c r="C67" i="23" s="1"/>
  <c r="J123" i="29"/>
  <c r="J124" i="29" s="1"/>
  <c r="M51" i="29"/>
  <c r="AC51" i="29" s="1"/>
  <c r="L51" i="29"/>
  <c r="L70" i="29" s="1"/>
  <c r="AH104" i="25"/>
  <c r="AH105" i="25" s="1"/>
  <c r="N73" i="24"/>
  <c r="AD73" i="24" s="1"/>
  <c r="N72" i="24"/>
  <c r="AD72" i="24" s="1"/>
  <c r="H61" i="23"/>
  <c r="H66" i="23" s="1"/>
  <c r="H67" i="23" s="1"/>
  <c r="J60" i="23"/>
  <c r="AB61" i="23"/>
  <c r="AB66" i="23" s="1"/>
  <c r="L79" i="21"/>
  <c r="M52" i="19"/>
  <c r="M55" i="19" s="1"/>
  <c r="M62" i="19" s="1"/>
  <c r="M63" i="19" s="1"/>
  <c r="G56" i="14"/>
  <c r="G57" i="14" s="1"/>
  <c r="I56" i="14"/>
  <c r="I57" i="14" s="1"/>
  <c r="Z24" i="12"/>
  <c r="I24" i="12"/>
  <c r="I25" i="12" s="1"/>
  <c r="Y24" i="12"/>
  <c r="I32" i="4"/>
  <c r="L103" i="9"/>
  <c r="O68" i="8"/>
  <c r="O67" i="8"/>
  <c r="O60" i="8"/>
  <c r="N76" i="24" l="1"/>
  <c r="N90" i="24" s="1"/>
  <c r="N91" i="24" s="1"/>
  <c r="AD76" i="24"/>
  <c r="AD90" i="24" s="1"/>
  <c r="M70" i="29"/>
  <c r="AC70" i="29"/>
  <c r="M65" i="21"/>
  <c r="L123" i="29"/>
  <c r="L124" i="29" s="1"/>
  <c r="K61" i="23"/>
  <c r="K66" i="23" s="1"/>
  <c r="K67" i="23" s="1"/>
  <c r="AA61" i="23"/>
  <c r="AA66" i="23" s="1"/>
  <c r="J61" i="23"/>
  <c r="J66" i="23" s="1"/>
  <c r="J67" i="23" s="1"/>
  <c r="N52" i="19"/>
  <c r="N55" i="19" s="1"/>
  <c r="N62" i="19" s="1"/>
  <c r="J56" i="14"/>
  <c r="S60" i="8"/>
  <c r="P60" i="8"/>
  <c r="AJ60" i="8"/>
  <c r="S67" i="8"/>
  <c r="AI67" i="8" s="1"/>
  <c r="P67" i="8"/>
  <c r="AJ67" i="8"/>
  <c r="S65" i="8"/>
  <c r="AI65" i="8" s="1"/>
  <c r="P65" i="8"/>
  <c r="AJ65" i="8"/>
  <c r="S68" i="8"/>
  <c r="AI68" i="8" s="1"/>
  <c r="P68" i="8"/>
  <c r="AJ68" i="8"/>
  <c r="S61" i="8"/>
  <c r="AI61" i="8" s="1"/>
  <c r="P61" i="8"/>
  <c r="AJ61" i="8"/>
  <c r="C69" i="8"/>
  <c r="C86" i="8" s="1"/>
  <c r="O59" i="8"/>
  <c r="O69" i="8" s="1"/>
  <c r="O86" i="8" s="1"/>
  <c r="O87" i="8" s="1"/>
  <c r="M103" i="9"/>
  <c r="AC31" i="2"/>
  <c r="AE31" i="2" l="1"/>
  <c r="AD31" i="2"/>
  <c r="AD123" i="29"/>
  <c r="AD124" i="29" s="1"/>
  <c r="AD52" i="19"/>
  <c r="AD55" i="19" s="1"/>
  <c r="P59" i="8"/>
  <c r="P69" i="8" s="1"/>
  <c r="P86" i="8" s="1"/>
  <c r="P87" i="8" s="1"/>
  <c r="S59" i="8"/>
  <c r="AI59" i="8" s="1"/>
  <c r="N69" i="8"/>
  <c r="N86" i="8" s="1"/>
  <c r="N87" i="8" s="1"/>
  <c r="AJ59" i="8"/>
  <c r="AI60" i="8"/>
  <c r="N103" i="9"/>
  <c r="AI69" i="8" l="1"/>
  <c r="AI86" i="8" s="1"/>
  <c r="AJ69" i="8"/>
  <c r="AJ86" i="8" s="1"/>
  <c r="S69" i="8"/>
  <c r="S86" i="8" s="1"/>
  <c r="O103" i="9"/>
  <c r="P103" i="9" l="1"/>
  <c r="Q103" i="9" l="1"/>
  <c r="R103" i="9" l="1"/>
  <c r="S103" i="9" l="1"/>
  <c r="T103" i="9" l="1"/>
  <c r="U103" i="9" l="1"/>
  <c r="V103" i="9" l="1"/>
  <c r="X67" i="9" l="1"/>
  <c r="X11" i="33"/>
  <c r="T20" i="33"/>
  <c r="S20" i="33"/>
  <c r="R20" i="33"/>
  <c r="Q20" i="33"/>
  <c r="P20" i="33"/>
  <c r="O20" i="33"/>
  <c r="N20" i="33"/>
  <c r="M20" i="33"/>
  <c r="L20" i="33"/>
  <c r="K20" i="33"/>
  <c r="J20" i="33"/>
  <c r="I20" i="33"/>
  <c r="X15" i="33"/>
  <c r="X14" i="33"/>
  <c r="X9" i="33"/>
  <c r="Z7" i="15"/>
  <c r="Z9" i="15" l="1"/>
  <c r="Z25" i="15" s="1"/>
  <c r="Z54" i="15" s="1"/>
  <c r="X8" i="33"/>
  <c r="X13" i="33"/>
  <c r="X12" i="33"/>
  <c r="X10" i="33"/>
  <c r="AA8" i="31"/>
  <c r="W20" i="33"/>
  <c r="Z8" i="15"/>
  <c r="R104" i="25"/>
  <c r="R105" i="25" s="1"/>
  <c r="S104" i="25"/>
  <c r="S105" i="25" s="1"/>
  <c r="T104" i="25"/>
  <c r="T105" i="25" s="1"/>
  <c r="U104" i="25"/>
  <c r="U105" i="25" s="1"/>
  <c r="V104" i="25"/>
  <c r="V105" i="25" s="1"/>
  <c r="W104" i="25"/>
  <c r="W105" i="25" s="1"/>
  <c r="X104" i="25"/>
  <c r="X105" i="25" s="1"/>
  <c r="Y104" i="25"/>
  <c r="Y105" i="25" s="1"/>
  <c r="Z104" i="25"/>
  <c r="Z105" i="25" s="1"/>
  <c r="AA104" i="25"/>
  <c r="AA105" i="25" s="1"/>
  <c r="AB104" i="25"/>
  <c r="AB105" i="25" s="1"/>
  <c r="AC104" i="25"/>
  <c r="AC105" i="25" s="1"/>
  <c r="Y20" i="32" l="1"/>
  <c r="Y32" i="32" s="1"/>
  <c r="X19" i="33"/>
  <c r="X20" i="33" s="1"/>
  <c r="AA17" i="31"/>
  <c r="AA27" i="31" s="1"/>
  <c r="AC27" i="30"/>
  <c r="AC37" i="30" s="1"/>
  <c r="Q104" i="25"/>
  <c r="Q105" i="25" s="1"/>
  <c r="AG103" i="25"/>
  <c r="AG104" i="25" l="1"/>
  <c r="AG30" i="25"/>
  <c r="AG83" i="25" l="1"/>
  <c r="AG105" i="25" s="1"/>
  <c r="L148" i="23" l="1"/>
  <c r="AB67" i="23" l="1"/>
  <c r="AB8" i="23"/>
  <c r="AA67" i="23" l="1"/>
  <c r="AA8" i="23" l="1"/>
  <c r="C91" i="24"/>
  <c r="V123" i="29" l="1"/>
  <c r="V124" i="29" s="1"/>
  <c r="W123" i="29"/>
  <c r="W124" i="29" s="1"/>
  <c r="X123" i="29"/>
  <c r="X124" i="29" s="1"/>
  <c r="Y123" i="29"/>
  <c r="Y124" i="29" s="1"/>
  <c r="AB123" i="29"/>
  <c r="AB124" i="29" s="1"/>
  <c r="N123" i="29"/>
  <c r="N124" i="29" s="1"/>
  <c r="O123" i="29"/>
  <c r="O124" i="29" s="1"/>
  <c r="P123" i="29"/>
  <c r="P124" i="29" s="1"/>
  <c r="Q123" i="29"/>
  <c r="Q124" i="29" s="1"/>
  <c r="R123" i="29"/>
  <c r="R124" i="29" s="1"/>
  <c r="S123" i="29"/>
  <c r="S124" i="29" s="1"/>
  <c r="T123" i="29"/>
  <c r="T124" i="29" s="1"/>
  <c r="U123" i="29"/>
  <c r="U124" i="29" s="1"/>
  <c r="C124" i="29"/>
  <c r="M123" i="29" l="1"/>
  <c r="M124" i="29" s="1"/>
  <c r="AD29" i="24" l="1"/>
  <c r="AD91" i="24" s="1"/>
  <c r="AC122" i="29"/>
  <c r="AC123" i="29" s="1"/>
  <c r="Z94" i="16"/>
  <c r="AC124" i="29" l="1"/>
  <c r="Z30" i="16"/>
  <c r="Z77" i="16" s="1"/>
  <c r="K9" i="16"/>
  <c r="AA9" i="16" s="1"/>
  <c r="M78" i="21"/>
  <c r="M79" i="21" s="1"/>
  <c r="M34" i="21"/>
  <c r="AC34" i="21" s="1"/>
  <c r="K30" i="16" l="1"/>
  <c r="K77" i="16" s="1"/>
  <c r="AA30" i="16"/>
  <c r="AA77" i="16" s="1"/>
  <c r="L40" i="21"/>
  <c r="K57" i="21"/>
  <c r="K80" i="21" s="1"/>
  <c r="L35" i="21"/>
  <c r="J80" i="21"/>
  <c r="AC78" i="21"/>
  <c r="AC79" i="21" s="1"/>
  <c r="M40" i="21" l="1"/>
  <c r="AC40" i="21" s="1"/>
  <c r="M35" i="21"/>
  <c r="AC35" i="21" s="1"/>
  <c r="L57" i="21"/>
  <c r="L80" i="21" s="1"/>
  <c r="AD57" i="21"/>
  <c r="AB9" i="21"/>
  <c r="AD9" i="21" s="1"/>
  <c r="M9" i="21"/>
  <c r="M32" i="21" l="1"/>
  <c r="AC9" i="21"/>
  <c r="AB32" i="21"/>
  <c r="AB80" i="21" s="1"/>
  <c r="AD32" i="21"/>
  <c r="AD80" i="21" s="1"/>
  <c r="M57" i="21"/>
  <c r="M80" i="21" l="1"/>
  <c r="AC57" i="21"/>
  <c r="AC32" i="21"/>
  <c r="AC80" i="21" l="1"/>
  <c r="Y61" i="19"/>
  <c r="Y62" i="19" s="1"/>
  <c r="Y63" i="19" s="1"/>
  <c r="X61" i="19"/>
  <c r="X62" i="19" s="1"/>
  <c r="X63" i="19" s="1"/>
  <c r="W61" i="19"/>
  <c r="W62" i="19" s="1"/>
  <c r="W63" i="19" s="1"/>
  <c r="V61" i="19"/>
  <c r="V62" i="19" s="1"/>
  <c r="V63" i="19" s="1"/>
  <c r="T61" i="19"/>
  <c r="T62" i="19" s="1"/>
  <c r="T63" i="19" s="1"/>
  <c r="R61" i="19"/>
  <c r="R62" i="19" s="1"/>
  <c r="R63" i="19" s="1"/>
  <c r="Q61" i="19"/>
  <c r="Q62" i="19" s="1"/>
  <c r="Q63" i="19" s="1"/>
  <c r="P61" i="19"/>
  <c r="P62" i="19" s="1"/>
  <c r="P63" i="19" s="1"/>
  <c r="AC50" i="19"/>
  <c r="AC42" i="19"/>
  <c r="AC41" i="19"/>
  <c r="AC40" i="19"/>
  <c r="AC39" i="19"/>
  <c r="AC38" i="19"/>
  <c r="AC37" i="19"/>
  <c r="AC36" i="19"/>
  <c r="AC35" i="19"/>
  <c r="AC34" i="19"/>
  <c r="AC33" i="19"/>
  <c r="AC9" i="19"/>
  <c r="N9" i="19"/>
  <c r="U62" i="19" l="1"/>
  <c r="U63" i="19" s="1"/>
  <c r="AB61" i="19"/>
  <c r="AB62" i="19" s="1"/>
  <c r="AB63" i="19" s="1"/>
  <c r="AE37" i="19"/>
  <c r="AD37" i="19"/>
  <c r="AE34" i="19"/>
  <c r="AD34" i="19"/>
  <c r="AE38" i="19"/>
  <c r="AD38" i="19"/>
  <c r="AE42" i="19"/>
  <c r="AD42" i="19"/>
  <c r="AC49" i="19"/>
  <c r="AE33" i="19"/>
  <c r="AD33" i="19"/>
  <c r="AE41" i="19"/>
  <c r="AD41" i="19"/>
  <c r="AD9" i="19"/>
  <c r="AD31" i="19" s="1"/>
  <c r="N31" i="19"/>
  <c r="N63" i="19" s="1"/>
  <c r="AE35" i="19"/>
  <c r="AD35" i="19"/>
  <c r="AE39" i="19"/>
  <c r="AD39" i="19"/>
  <c r="AE61" i="19"/>
  <c r="AE62" i="19" s="1"/>
  <c r="AC61" i="19"/>
  <c r="AC62" i="19" s="1"/>
  <c r="AC31" i="19"/>
  <c r="AE9" i="19"/>
  <c r="AE31" i="19" s="1"/>
  <c r="AE36" i="19"/>
  <c r="AD36" i="19"/>
  <c r="AE40" i="19"/>
  <c r="AD40" i="19"/>
  <c r="O61" i="19"/>
  <c r="O62" i="19" s="1"/>
  <c r="O63" i="19" s="1"/>
  <c r="AA61" i="19"/>
  <c r="AA62" i="19" s="1"/>
  <c r="AA63" i="19" s="1"/>
  <c r="S61" i="19"/>
  <c r="S62" i="19" s="1"/>
  <c r="S63" i="19" s="1"/>
  <c r="C79" i="20"/>
  <c r="AD61" i="19"/>
  <c r="AD62" i="19" s="1"/>
  <c r="AC63" i="19" l="1"/>
  <c r="AD49" i="19"/>
  <c r="AD63" i="19" s="1"/>
  <c r="AE49" i="19"/>
  <c r="AE63" i="19" s="1"/>
  <c r="Z8" i="18"/>
  <c r="Z32" i="18" s="1"/>
  <c r="Z62" i="18" s="1"/>
  <c r="K8" i="18"/>
  <c r="K32" i="18" s="1"/>
  <c r="K62" i="18" s="1"/>
  <c r="AA8" i="18" l="1"/>
  <c r="AA32" i="18" s="1"/>
  <c r="AA62" i="18" s="1"/>
  <c r="C56" i="14" l="1"/>
  <c r="C57" i="14" s="1"/>
  <c r="AB8" i="17" l="1"/>
  <c r="AB30" i="17" s="1"/>
  <c r="AB66" i="17" s="1"/>
  <c r="V56" i="14" l="1"/>
  <c r="V57" i="14" s="1"/>
  <c r="U56" i="14"/>
  <c r="U57" i="14" s="1"/>
  <c r="T56" i="14"/>
  <c r="T57" i="14" s="1"/>
  <c r="S56" i="14"/>
  <c r="S57" i="14" s="1"/>
  <c r="R56" i="14"/>
  <c r="R57" i="14" s="1"/>
  <c r="Q56" i="14"/>
  <c r="Q57" i="14" s="1"/>
  <c r="P56" i="14"/>
  <c r="P57" i="14" s="1"/>
  <c r="O56" i="14"/>
  <c r="O57" i="14" s="1"/>
  <c r="N56" i="14"/>
  <c r="N57" i="14" s="1"/>
  <c r="M56" i="14"/>
  <c r="M57" i="14" s="1"/>
  <c r="L56" i="14"/>
  <c r="L57" i="14" s="1"/>
  <c r="K56" i="14" l="1"/>
  <c r="K57" i="14" s="1"/>
  <c r="J57" i="14"/>
  <c r="X56" i="14" l="1"/>
  <c r="X57" i="14" s="1"/>
  <c r="Z17" i="13"/>
  <c r="Z7" i="13"/>
  <c r="Z15" i="13" l="1"/>
  <c r="Z12" i="13"/>
  <c r="Z9" i="13"/>
  <c r="Z13" i="13"/>
  <c r="Z10" i="13"/>
  <c r="Z11" i="13"/>
  <c r="Z16" i="13"/>
  <c r="Z42" i="13" l="1"/>
  <c r="Z62" i="13" s="1"/>
  <c r="C18" i="12"/>
  <c r="C25" i="12" s="1"/>
  <c r="L35" i="10"/>
  <c r="L47" i="10" s="1"/>
  <c r="M35" i="10"/>
  <c r="M47" i="10" s="1"/>
  <c r="N35" i="10"/>
  <c r="N47" i="10" s="1"/>
  <c r="O35" i="10"/>
  <c r="O47" i="10" s="1"/>
  <c r="P35" i="10"/>
  <c r="P47" i="10" s="1"/>
  <c r="Q35" i="10"/>
  <c r="Q47" i="10" s="1"/>
  <c r="R35" i="10"/>
  <c r="R47" i="10" s="1"/>
  <c r="S35" i="10"/>
  <c r="S47" i="10" s="1"/>
  <c r="T35" i="10"/>
  <c r="T47" i="10" s="1"/>
  <c r="U35" i="10"/>
  <c r="U47" i="10" s="1"/>
  <c r="V35" i="10"/>
  <c r="V47" i="10" s="1"/>
  <c r="W35" i="10"/>
  <c r="W47" i="10" s="1"/>
  <c r="H47" i="10"/>
  <c r="C65" i="9"/>
  <c r="C103" i="9" s="1"/>
  <c r="C55" i="8"/>
  <c r="C87" i="8" s="1"/>
  <c r="W33" i="5"/>
  <c r="X33" i="5"/>
  <c r="U33" i="5"/>
  <c r="V33" i="5"/>
  <c r="R33" i="5"/>
  <c r="S33" i="5"/>
  <c r="M33" i="5"/>
  <c r="N33" i="5"/>
  <c r="O33" i="5"/>
  <c r="P33" i="5"/>
  <c r="Q33" i="5"/>
  <c r="C140" i="2"/>
  <c r="X18" i="12" l="1"/>
  <c r="X25" i="12" s="1"/>
  <c r="Z18" i="12"/>
  <c r="Z25" i="12" s="1"/>
  <c r="Y9" i="12"/>
  <c r="Y18" i="12" l="1"/>
  <c r="Y25" i="12" s="1"/>
  <c r="AA34" i="10"/>
  <c r="AA33" i="10"/>
  <c r="AA30" i="10"/>
  <c r="AA29" i="10"/>
  <c r="AA28" i="10"/>
  <c r="AA8" i="10"/>
  <c r="Y69" i="9"/>
  <c r="Y60" i="9"/>
  <c r="Y61" i="9"/>
  <c r="Y62" i="9"/>
  <c r="Y63" i="9"/>
  <c r="Y64" i="9"/>
  <c r="Y51" i="9"/>
  <c r="Y52" i="9"/>
  <c r="Y53" i="9"/>
  <c r="Y54" i="9"/>
  <c r="Y55" i="9"/>
  <c r="Y57" i="9"/>
  <c r="Y58" i="9"/>
  <c r="Y34" i="9"/>
  <c r="Y35" i="9"/>
  <c r="Y36" i="9"/>
  <c r="Y37" i="9"/>
  <c r="Y50" i="9"/>
  <c r="Y19" i="9"/>
  <c r="Y20" i="9"/>
  <c r="Y21" i="9"/>
  <c r="Y26" i="9"/>
  <c r="Y32" i="9"/>
  <c r="Y33" i="9"/>
  <c r="X60" i="9" l="1"/>
  <c r="X52" i="9"/>
  <c r="X54" i="9"/>
  <c r="X63" i="9"/>
  <c r="X53" i="9"/>
  <c r="X57" i="9"/>
  <c r="X56" i="9"/>
  <c r="Y56" i="9"/>
  <c r="X69" i="9"/>
  <c r="Y29" i="9"/>
  <c r="X37" i="9"/>
  <c r="X58" i="9"/>
  <c r="X55" i="9"/>
  <c r="Z35" i="10"/>
  <c r="Z47" i="10" s="1"/>
  <c r="AA18" i="10"/>
  <c r="AA20" i="10"/>
  <c r="AA23" i="10"/>
  <c r="AA24" i="10"/>
  <c r="AA19" i="10"/>
  <c r="AA12" i="10"/>
  <c r="AA11" i="10"/>
  <c r="AA13" i="10"/>
  <c r="X50" i="9"/>
  <c r="AA14" i="10"/>
  <c r="X51" i="9"/>
  <c r="X34" i="9"/>
  <c r="X61" i="9"/>
  <c r="X64" i="9"/>
  <c r="X36" i="9"/>
  <c r="X62" i="9"/>
  <c r="AA35" i="10" l="1"/>
  <c r="AA47" i="10" s="1"/>
  <c r="W80" i="9"/>
  <c r="W102" i="9" s="1"/>
  <c r="Y70" i="9" l="1"/>
  <c r="Y80" i="9" s="1"/>
  <c r="Y102" i="9" s="1"/>
  <c r="X70" i="9"/>
  <c r="X80" i="9" s="1"/>
  <c r="X102" i="9" s="1"/>
  <c r="X33" i="9"/>
  <c r="X32" i="9"/>
  <c r="X29" i="9"/>
  <c r="X26" i="9"/>
  <c r="X21" i="9"/>
  <c r="X20" i="9"/>
  <c r="X19" i="9"/>
  <c r="W65" i="9" l="1"/>
  <c r="W103" i="9" s="1"/>
  <c r="X15" i="9"/>
  <c r="Y15" i="9"/>
  <c r="X12" i="9"/>
  <c r="Y12" i="9"/>
  <c r="X11" i="9"/>
  <c r="Y11" i="9"/>
  <c r="X13" i="9"/>
  <c r="Y13" i="9"/>
  <c r="X16" i="9"/>
  <c r="Y16" i="9"/>
  <c r="Y8" i="9"/>
  <c r="X8" i="9"/>
  <c r="X17" i="9"/>
  <c r="Y17" i="9"/>
  <c r="X9" i="9"/>
  <c r="Y9" i="9"/>
  <c r="X14" i="9"/>
  <c r="Y14" i="9"/>
  <c r="X18" i="9"/>
  <c r="Y18" i="9"/>
  <c r="Y65" i="9" l="1"/>
  <c r="Y103" i="9" s="1"/>
  <c r="X35" i="9"/>
  <c r="X65" i="9" s="1"/>
  <c r="X103" i="9" l="1"/>
  <c r="S26" i="8"/>
  <c r="S87" i="8" s="1"/>
  <c r="AJ22" i="8" l="1"/>
  <c r="AI22" i="8"/>
  <c r="AJ21" i="8"/>
  <c r="AI21" i="8"/>
  <c r="AI20" i="8"/>
  <c r="AJ20" i="8"/>
  <c r="AJ13" i="8"/>
  <c r="AI13" i="8"/>
  <c r="AJ12" i="8"/>
  <c r="AI12" i="8"/>
  <c r="AJ11" i="8"/>
  <c r="AI11" i="8"/>
  <c r="AJ10" i="8"/>
  <c r="AI10" i="8"/>
  <c r="AI8" i="8"/>
  <c r="AJ8" i="8"/>
  <c r="AH26" i="8"/>
  <c r="AH87" i="8" s="1"/>
  <c r="AI26" i="8" l="1"/>
  <c r="AI87" i="8" s="1"/>
  <c r="AJ26" i="8"/>
  <c r="AJ87" i="8" s="1"/>
  <c r="X16" i="7"/>
  <c r="X13" i="7"/>
  <c r="Z13" i="7" s="1"/>
  <c r="X12" i="7"/>
  <c r="X11" i="7"/>
  <c r="X10" i="7"/>
  <c r="X9" i="7"/>
  <c r="Y13" i="7" l="1"/>
  <c r="Y10" i="7"/>
  <c r="X14" i="7"/>
  <c r="X22" i="7" s="1"/>
  <c r="Y9" i="7"/>
  <c r="X17" i="7"/>
  <c r="X21" i="7" s="1"/>
  <c r="Z16" i="7"/>
  <c r="Y16" i="7"/>
  <c r="Y11" i="7"/>
  <c r="Y12" i="7"/>
  <c r="Y17" i="7"/>
  <c r="Y21" i="7" s="1"/>
  <c r="Z17" i="7"/>
  <c r="Z21" i="7" s="1"/>
  <c r="AB19" i="5"/>
  <c r="AB20" i="5"/>
  <c r="AB18" i="5"/>
  <c r="Z14" i="7" l="1"/>
  <c r="Z22" i="7" s="1"/>
  <c r="Y14" i="7"/>
  <c r="Y22" i="7" s="1"/>
  <c r="AB12" i="5"/>
  <c r="L33" i="5"/>
  <c r="AB17" i="5"/>
  <c r="AB11" i="5"/>
  <c r="AB15" i="5"/>
  <c r="AB16" i="5"/>
  <c r="AB10" i="5"/>
  <c r="AB21" i="5" l="1"/>
  <c r="Z32" i="4"/>
  <c r="Y32" i="4"/>
  <c r="Z8" i="14" l="1"/>
  <c r="Z35" i="14" s="1"/>
  <c r="AA35" i="14"/>
  <c r="AA57" i="14" s="1"/>
  <c r="Y56" i="14" l="1"/>
  <c r="Y57" i="14" s="1"/>
  <c r="Z55" i="14" l="1"/>
  <c r="Z56" i="14" s="1"/>
  <c r="Z57" i="14" s="1"/>
  <c r="T33" i="5"/>
  <c r="Z26" i="5"/>
  <c r="Z32" i="5"/>
  <c r="Z33" i="5" s="1"/>
  <c r="AB33" i="5" l="1"/>
  <c r="AC33" i="5"/>
  <c r="Y33" i="5"/>
  <c r="Y26" i="5"/>
  <c r="Y32" i="5"/>
  <c r="AA26" i="5"/>
  <c r="AA32" i="5"/>
  <c r="AA33" i="5"/>
  <c r="AC25" i="5"/>
  <c r="AC26" i="5"/>
  <c r="AC32" i="5"/>
  <c r="T25" i="5"/>
  <c r="Y25" i="5"/>
  <c r="AA25" i="5"/>
  <c r="AB25" i="5"/>
  <c r="AB26" i="5"/>
  <c r="AB32" i="5"/>
</calcChain>
</file>

<file path=xl/comments1.xml><?xml version="1.0" encoding="utf-8"?>
<comments xmlns="http://schemas.openxmlformats.org/spreadsheetml/2006/main">
  <authors>
    <author>ASUS PC</author>
  </authors>
  <commentList>
    <comment ref="C53" authorId="0" shapeId="0">
      <text>
        <r>
          <rPr>
            <b/>
            <sz val="9"/>
            <color indexed="81"/>
            <rFont val="Tahoma"/>
            <family val="2"/>
          </rPr>
          <t>Allen:
6k- MM
2k-PS 
2k-AO
2k-SO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Allen:
MO Admin-15,600
DILG-15,600
Gazette - 17,800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ASUS PC:</t>
        </r>
        <r>
          <rPr>
            <sz val="9"/>
            <color indexed="81"/>
            <rFont val="Tahoma"/>
            <family val="2"/>
          </rPr>
          <t xml:space="preserve">
RPT 2%
c/o budget 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Allen:
Tinanggal ko na po ang GIST 
1,500,000.00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KC</author>
  </authors>
  <commentList>
    <comment ref="A133" authorId="0" shapeId="0">
      <text>
        <r>
          <rPr>
            <b/>
            <sz val="9"/>
            <color indexed="81"/>
            <rFont val="Tahoma"/>
            <family val="2"/>
          </rPr>
          <t>KC:</t>
        </r>
        <r>
          <rPr>
            <sz val="9"/>
            <color indexed="81"/>
            <rFont val="Tahoma"/>
            <family val="2"/>
          </rPr>
          <t xml:space="preserve">
maintenance</t>
        </r>
      </text>
    </comment>
  </commentList>
</comments>
</file>

<file path=xl/comments3.xml><?xml version="1.0" encoding="utf-8"?>
<comments xmlns="http://schemas.openxmlformats.org/spreadsheetml/2006/main">
  <authors>
    <author>Allen</author>
    <author>Windows User</author>
    <author>ASUS PC</author>
  </authors>
  <commentList>
    <comment ref="C33" authorId="0" shapeId="0">
      <text>
        <r>
          <rPr>
            <b/>
            <sz val="9"/>
            <color indexed="81"/>
            <rFont val="Tahoma"/>
            <family val="2"/>
          </rPr>
          <t>Allen:</t>
        </r>
        <r>
          <rPr>
            <sz val="9"/>
            <color indexed="81"/>
            <rFont val="Tahoma"/>
            <family val="2"/>
          </rPr>
          <t xml:space="preserve">
156,000 Prof Services  
335,000 health card
156,000-MOOE</t>
        </r>
      </text>
    </comment>
    <comment ref="C89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3 rtc 6 x 12K</t>
        </r>
      </text>
    </comment>
    <comment ref="C92" authorId="2" shapeId="0">
      <text>
        <r>
          <rPr>
            <b/>
            <sz val="9"/>
            <color indexed="81"/>
            <rFont val="Tahoma"/>
            <family val="2"/>
          </rPr>
          <t>ASUS PC:70k CF,24rice, 56others</t>
        </r>
      </text>
    </comment>
  </commentList>
</comments>
</file>

<file path=xl/sharedStrings.xml><?xml version="1.0" encoding="utf-8"?>
<sst xmlns="http://schemas.openxmlformats.org/spreadsheetml/2006/main" count="5340" uniqueCount="1407">
  <si>
    <t>JANUARY</t>
  </si>
  <si>
    <t>TOTAL</t>
  </si>
  <si>
    <t xml:space="preserve">ACCOUNT </t>
  </si>
  <si>
    <t>CODE</t>
  </si>
  <si>
    <t xml:space="preserve"> 1.1 Personal Services (100)</t>
  </si>
  <si>
    <t xml:space="preserve">    Salaries and Wages-Regular Pay</t>
  </si>
  <si>
    <t>5-01-01-010</t>
  </si>
  <si>
    <t xml:space="preserve">    Salaries and Wages-Casual/Contractual</t>
  </si>
  <si>
    <t>5-01-01-020</t>
  </si>
  <si>
    <t xml:space="preserve">    Commutable Allow./Fringe Benefits</t>
  </si>
  <si>
    <t xml:space="preserve">          Personal Economic  Relief Allow.(PERA)</t>
  </si>
  <si>
    <t>5-01-02-010</t>
  </si>
  <si>
    <t xml:space="preserve">          Representation Allowance(RA)</t>
  </si>
  <si>
    <t>5-01-02-020</t>
  </si>
  <si>
    <t xml:space="preserve">          Transportation Allowance(TA)</t>
  </si>
  <si>
    <t>5-01-02-030</t>
  </si>
  <si>
    <t xml:space="preserve">          Clothing/Uniform Allowance</t>
  </si>
  <si>
    <t>5-01-02-040</t>
  </si>
  <si>
    <t xml:space="preserve">          Productivity Incentives  Allowance </t>
  </si>
  <si>
    <t>5-01-02-080</t>
  </si>
  <si>
    <t xml:space="preserve">          Hazard Pay</t>
  </si>
  <si>
    <t>5-01-02-110</t>
  </si>
  <si>
    <t xml:space="preserve">          Mid Year Bonus</t>
  </si>
  <si>
    <t>5-01-02-140</t>
  </si>
  <si>
    <t xml:space="preserve">          Year End Bonus</t>
  </si>
  <si>
    <t xml:space="preserve">          Cash Gift</t>
  </si>
  <si>
    <t>5-01-02-150</t>
  </si>
  <si>
    <t>5-01-02-990</t>
  </si>
  <si>
    <t xml:space="preserve">       Retirement  and Life Insurance Premiums</t>
  </si>
  <si>
    <t>5-01-03-010</t>
  </si>
  <si>
    <t xml:space="preserve">       PAG-IBIG Contributions</t>
  </si>
  <si>
    <t>5-01-03-020</t>
  </si>
  <si>
    <t xml:space="preserve">       PHILHEALTH Contributions</t>
  </si>
  <si>
    <t>5-01-03-030</t>
  </si>
  <si>
    <t xml:space="preserve">       Employees Compensation Insurance Premiums</t>
  </si>
  <si>
    <t>5-01-03-040</t>
  </si>
  <si>
    <t xml:space="preserve">      Terminal Leave Benefits</t>
  </si>
  <si>
    <t>5-01-04-030</t>
  </si>
  <si>
    <t xml:space="preserve">        Other Bonuses &amp; Allow. (Coll.Negotiation Incentive)</t>
  </si>
  <si>
    <t>5-01-04-990</t>
  </si>
  <si>
    <t>TOTAL PERSONAL SERVICES</t>
  </si>
  <si>
    <t>1.2 Maintenance and Other Operating Exp.</t>
  </si>
  <si>
    <t>Travelling Expenses-Local</t>
  </si>
  <si>
    <t>5-02-01-010</t>
  </si>
  <si>
    <t>Training Expenses</t>
  </si>
  <si>
    <t xml:space="preserve">            - Admin</t>
  </si>
  <si>
    <t xml:space="preserve">            - Youth and Sports</t>
  </si>
  <si>
    <t xml:space="preserve">            - Livelihood</t>
  </si>
  <si>
    <t xml:space="preserve">            - Team Building</t>
  </si>
  <si>
    <t xml:space="preserve">            - Aid to Mayor's League</t>
  </si>
  <si>
    <t>Office Supplies Expenses</t>
  </si>
  <si>
    <t>5-02-03-010</t>
  </si>
  <si>
    <t xml:space="preserve">            - Youth and Sport</t>
  </si>
  <si>
    <t xml:space="preserve">            - DILG</t>
  </si>
  <si>
    <t xml:space="preserve">            - People's Dayl/SOBA</t>
  </si>
  <si>
    <t>Fuel, Oil and Lubricants Expenses</t>
  </si>
  <si>
    <t>5-02-03-090</t>
  </si>
  <si>
    <t>Postage and Courier Services</t>
  </si>
  <si>
    <t>5-02-05-010</t>
  </si>
  <si>
    <t>Telephone Expenses - Mobile</t>
  </si>
  <si>
    <t>5-02-05-020</t>
  </si>
  <si>
    <t>Internet Subscription Expenses</t>
  </si>
  <si>
    <t>5-02-05-030</t>
  </si>
  <si>
    <t>Awards/rewards expense</t>
  </si>
  <si>
    <t>5-02-06-010</t>
  </si>
  <si>
    <t xml:space="preserve">           - Awards &amp; indemnities</t>
  </si>
  <si>
    <t xml:space="preserve">           - Rewards and Other Claims</t>
  </si>
  <si>
    <t>Legal Services</t>
  </si>
  <si>
    <t>5-02-11-010</t>
  </si>
  <si>
    <t>Other Professional Services</t>
  </si>
  <si>
    <t>5-02-11-990</t>
  </si>
  <si>
    <t xml:space="preserve">          - admin</t>
  </si>
  <si>
    <t xml:space="preserve">      - Honorarium - DILG</t>
  </si>
  <si>
    <t xml:space="preserve">      - Honorarium - PNP</t>
  </si>
  <si>
    <t xml:space="preserve">      - Honorarium - BFP</t>
  </si>
  <si>
    <t xml:space="preserve">Repair &amp; maintenance- Machinery &amp; Equipment.-Office Equipment </t>
  </si>
  <si>
    <t>5-02-13-050</t>
  </si>
  <si>
    <t xml:space="preserve"> Repair &amp; maintenance- Machinery &amp; Equipment-IT Eqt. &amp; Software</t>
  </si>
  <si>
    <t>Repair &amp; Maint-Transpo.Equip.(Motor Vehicles)</t>
  </si>
  <si>
    <t>5-02-13-060</t>
  </si>
  <si>
    <t xml:space="preserve">Tax, Duties and Licenses </t>
  </si>
  <si>
    <t>5-02-16-010</t>
  </si>
  <si>
    <t xml:space="preserve"> Insurance Expenses</t>
  </si>
  <si>
    <t>5-02-16-030</t>
  </si>
  <si>
    <t>Advertising Expenses</t>
  </si>
  <si>
    <t>5-02-99-010</t>
  </si>
  <si>
    <t>Printing and Publication Expenses</t>
  </si>
  <si>
    <t>5-02-99-020</t>
  </si>
  <si>
    <t xml:space="preserve">           - admin</t>
  </si>
  <si>
    <t xml:space="preserve">           - tarpaulin - Independence Day Celebration</t>
  </si>
  <si>
    <t xml:space="preserve">           - tarpaulin - People's DaySOBA</t>
  </si>
  <si>
    <t xml:space="preserve">           - tarpaulin - Inauguration Ceremony</t>
  </si>
  <si>
    <t>Representation Expense (meals &amp; snacks)</t>
  </si>
  <si>
    <t>5-02-99-030</t>
  </si>
  <si>
    <t xml:space="preserve">             - admin</t>
  </si>
  <si>
    <t xml:space="preserve">             - Independence Day</t>
  </si>
  <si>
    <t xml:space="preserve">             - People's Dayl/SOBA</t>
  </si>
  <si>
    <t xml:space="preserve">             - Meetings with ExeCom &amp; LSB</t>
  </si>
  <si>
    <t xml:space="preserve">             - Other meetings/courtesy meetings</t>
  </si>
  <si>
    <t>Transportation &amp; delivery  Expenses</t>
  </si>
  <si>
    <t>5-02-99-040</t>
  </si>
  <si>
    <t>Subscription Expenses</t>
  </si>
  <si>
    <t>5-02-99-070</t>
  </si>
  <si>
    <t>Donations ( inter agency assistance )</t>
  </si>
  <si>
    <t>5-02-99-080</t>
  </si>
  <si>
    <t>Other  Maint. &amp; Operating Expenses - Admin</t>
  </si>
  <si>
    <t>5-02-99-990</t>
  </si>
  <si>
    <t>Discretionary Expenses</t>
  </si>
  <si>
    <t>TOTAL MOOE</t>
  </si>
  <si>
    <t>2.0  Property, Plant &amp; Equipment</t>
  </si>
  <si>
    <t xml:space="preserve">Office Equipment </t>
  </si>
  <si>
    <t>1-07-05-020</t>
  </si>
  <si>
    <t>Information &amp; Comm.Technology Equip.</t>
  </si>
  <si>
    <t>1-07-05-030</t>
  </si>
  <si>
    <t>1-07-05-990</t>
  </si>
  <si>
    <t xml:space="preserve">Furnitures and Fixtures </t>
  </si>
  <si>
    <t>1-07-07-010</t>
  </si>
  <si>
    <t>Other PPE</t>
  </si>
  <si>
    <t>1-07-99-990</t>
  </si>
  <si>
    <t>TOTAL CAPITAL OUTLAY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</si>
  <si>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</si>
  <si>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</si>
  <si>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</si>
  <si>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</si>
  <si>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</si>
  <si>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</si>
  <si>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</si>
  <si>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</si>
  <si>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</si>
  <si>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</si>
  <si>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</si>
  <si>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UNOBLIGATED</t>
  </si>
  <si>
    <t>BALANCE</t>
  </si>
  <si>
    <t>ANNUAL</t>
  </si>
  <si>
    <t>BUDGET</t>
  </si>
  <si>
    <t>SUPPLEMENTAL</t>
  </si>
  <si>
    <t>REALIGMENT</t>
  </si>
  <si>
    <t>APPROPRIATION</t>
  </si>
  <si>
    <t>Maintenance and Other Operating  Expenditures (200)</t>
  </si>
  <si>
    <t>Travelling Expenses</t>
  </si>
  <si>
    <t>5-02-02-010</t>
  </si>
  <si>
    <t>Telephone Expense-Mobile</t>
  </si>
  <si>
    <t>Repair &amp; maintenance- Machinery &amp; Equipment-IT Eqt. &amp; Software</t>
  </si>
  <si>
    <t xml:space="preserve">Repair &amp; Maintenance - Motorcycle </t>
  </si>
  <si>
    <t>Insurance Expense</t>
  </si>
  <si>
    <t xml:space="preserve">    Maintenance and Other Operating  Expenditures (200)</t>
  </si>
  <si>
    <t xml:space="preserve">       - Admin</t>
  </si>
  <si>
    <t>Trainings &amp; Seminars Expenses</t>
  </si>
  <si>
    <t>5-02-01-020</t>
  </si>
  <si>
    <t>Office Supplies</t>
  </si>
  <si>
    <t>5-02-03-990</t>
  </si>
  <si>
    <t>Internet Subscription Expense</t>
  </si>
  <si>
    <t>Extraordinary &amp; Miscellaneous Expenses</t>
  </si>
  <si>
    <t>5-02-10-030</t>
  </si>
  <si>
    <t>Representation expense (Snacks &amp; meals)</t>
  </si>
  <si>
    <t>Other MOOE</t>
  </si>
  <si>
    <t>Electricity Expenses</t>
  </si>
  <si>
    <t>5-02-04-020</t>
  </si>
  <si>
    <t>5-02-13-040</t>
  </si>
  <si>
    <t>5-02-13-070</t>
  </si>
  <si>
    <t>TOTAL APPROPRIATIONS</t>
  </si>
  <si>
    <t>Maintenance and Other Operating Expenditures (200)</t>
  </si>
  <si>
    <t xml:space="preserve">     </t>
  </si>
  <si>
    <t xml:space="preserve">       Travelling Expenses</t>
  </si>
  <si>
    <t xml:space="preserve">       Training Expenses</t>
  </si>
  <si>
    <t xml:space="preserve">       Office Supplies Expenses</t>
  </si>
  <si>
    <t xml:space="preserve">       Internet Subscription Expense</t>
  </si>
  <si>
    <t xml:space="preserve">      Salaries and Wages-Regular Pay</t>
  </si>
  <si>
    <t xml:space="preserve">      Commutable Allow./Fringe Benefits</t>
  </si>
  <si>
    <t xml:space="preserve">          Productivity Enhancement Incentive</t>
  </si>
  <si>
    <t xml:space="preserve">          Mid-Year Bonus</t>
  </si>
  <si>
    <t xml:space="preserve">           Retirement &amp; Life Insurance Premiums</t>
  </si>
  <si>
    <t xml:space="preserve">          PAG-IBIG Contributions</t>
  </si>
  <si>
    <t xml:space="preserve">          PHILHEALTH Contributions</t>
  </si>
  <si>
    <t xml:space="preserve">            Employees Compensation Insurance Premiums</t>
  </si>
  <si>
    <t xml:space="preserve">       Other Personnel Benefit</t>
  </si>
  <si>
    <t>1.2Maintenance and Other Operating Expenditures (200)</t>
  </si>
  <si>
    <t>Fuel,oil &amp; lubricants exp.</t>
  </si>
  <si>
    <t>Telephone Expenses-Mobile</t>
  </si>
  <si>
    <t xml:space="preserve"> Other Professional Services</t>
  </si>
  <si>
    <t>Repair &amp; Maint-Transpo.expense(Motor Vehicles)</t>
  </si>
  <si>
    <t>Insurance  Expenses</t>
  </si>
  <si>
    <t>Representation Expense</t>
  </si>
  <si>
    <t>Other  Maint. &amp; Operating Expenses</t>
  </si>
  <si>
    <t xml:space="preserve">2.0  Property, Plant and Equipment </t>
  </si>
  <si>
    <t xml:space="preserve">         - Water dispenser</t>
  </si>
  <si>
    <t xml:space="preserve">         - Colored Photocopying Machine</t>
  </si>
  <si>
    <t xml:space="preserve">         - Desktop computer</t>
  </si>
  <si>
    <t xml:space="preserve">        - Long tables &amp; wooden chairs</t>
  </si>
  <si>
    <t xml:space="preserve">        - Book shelves</t>
  </si>
  <si>
    <t>TOTAL PROPERTY, PLANT &amp; EQUIP.</t>
  </si>
  <si>
    <t>Maintenance and Other Operating Expenditures</t>
  </si>
  <si>
    <t xml:space="preserve">   Travelling Expenses</t>
  </si>
  <si>
    <t xml:space="preserve"> Preparedness Activities</t>
  </si>
  <si>
    <t xml:space="preserve">   Trainings and Seminars:</t>
  </si>
  <si>
    <t>Capacity Development for Stakeholders</t>
  </si>
  <si>
    <t xml:space="preserve"> Community-Based DRRM   Trainings</t>
  </si>
  <si>
    <t>5-02-13-990</t>
  </si>
  <si>
    <t xml:space="preserve">   Taxes, Duties and Licenses</t>
  </si>
  <si>
    <t xml:space="preserve"> Registration/License Renewal-Motor Vehicles</t>
  </si>
  <si>
    <t xml:space="preserve">   Insurance Expenses </t>
  </si>
  <si>
    <t xml:space="preserve"> Insurance Expense -Motor Vehicles</t>
  </si>
  <si>
    <t xml:space="preserve">        Preparedness</t>
  </si>
  <si>
    <t xml:space="preserve"> Accident Insurance-Rescue Team</t>
  </si>
  <si>
    <t xml:space="preserve"> Meals and Snacks-MDRRMC and Rescue Team</t>
  </si>
  <si>
    <t xml:space="preserve"> Meals during quartely MDRRMC meetings</t>
  </si>
  <si>
    <t>Search for Cleaniest, Greeniest, Healthiest &amp; Most Reselient Barangay &amp; School</t>
  </si>
  <si>
    <t>Infra Audit</t>
  </si>
  <si>
    <t>Coastal River Clean-up</t>
  </si>
  <si>
    <t>Tree Planting and Mangrove Planting</t>
  </si>
  <si>
    <t>RESPONSE</t>
  </si>
  <si>
    <t>Property, Plant &amp; Equipment</t>
  </si>
  <si>
    <t>1-07-05-090</t>
  </si>
  <si>
    <t>TOTAL  PROPERTY,PLANT AND EQUIPMENT</t>
  </si>
  <si>
    <t xml:space="preserve"> Maintenance and Other Operating Expenditures (200)</t>
  </si>
  <si>
    <t xml:space="preserve">         - PESO staff</t>
  </si>
  <si>
    <t xml:space="preserve">         - Admin</t>
  </si>
  <si>
    <t xml:space="preserve">Other Professional Services </t>
  </si>
  <si>
    <t xml:space="preserve">         - Printing of AIR-TIP &amp; LMI Materials</t>
  </si>
  <si>
    <t xml:space="preserve">           -Admin</t>
  </si>
  <si>
    <t xml:space="preserve">OTHER MOOE </t>
  </si>
  <si>
    <t>Water Expenses</t>
  </si>
  <si>
    <t>5-02-04-010</t>
  </si>
  <si>
    <t>5-02-11-030</t>
  </si>
  <si>
    <t>TOTAL APPROPRIATION</t>
  </si>
  <si>
    <t>5-02-12-010</t>
  </si>
  <si>
    <t>Environment &amp; Sanitary Services</t>
  </si>
  <si>
    <t xml:space="preserve">Extraordinary &amp; Miscellaneous Expenses </t>
  </si>
  <si>
    <t>1.2Maintenance and Other Operating</t>
  </si>
  <si>
    <t xml:space="preserve">       Repair &amp; maintenance- Machinery &amp; Equipment-IT Eqt. &amp; Software</t>
  </si>
  <si>
    <t xml:space="preserve">2.0 Property, Plant and Equipment </t>
  </si>
  <si>
    <t>1.2 Maintenance and Other Operating  Expenditures (200)</t>
  </si>
  <si>
    <t>Awards/Rewards Expenses</t>
  </si>
  <si>
    <t>Training  Expenses</t>
  </si>
  <si>
    <t>Taxes, Duties and licenses</t>
  </si>
  <si>
    <t>TOTAL PPE</t>
  </si>
  <si>
    <t>Accountable Forms Expenses</t>
  </si>
  <si>
    <t>Repairs &amp; Maint.- Machinery &amp; Equipment</t>
  </si>
  <si>
    <t xml:space="preserve">2.0    Property, Plant and Equipment </t>
  </si>
  <si>
    <t>1.2Maintenance and Other Operating  Expenditures (200)</t>
  </si>
  <si>
    <t>2.0 Property, Plants and Equipment</t>
  </si>
  <si>
    <t>Furniture &amp; Fixtures</t>
  </si>
  <si>
    <t>5-03-01-020</t>
  </si>
  <si>
    <t>5-01-02-130</t>
  </si>
  <si>
    <t xml:space="preserve"> Accountable Forms Expenses</t>
  </si>
  <si>
    <t>5-02-03-020</t>
  </si>
  <si>
    <t>5-02-16-020</t>
  </si>
  <si>
    <t xml:space="preserve"> Information &amp; Comm.Technology Equip.</t>
  </si>
  <si>
    <t>1.2 Maintenance and Other Operating Expenditures (200)</t>
  </si>
  <si>
    <t>Other Maintenance &amp; Operating Expenses</t>
  </si>
  <si>
    <t>2.0 Property, Plant and Equipment (300)</t>
  </si>
  <si>
    <t>Internet Subscription  Expenses</t>
  </si>
  <si>
    <t>Printing &amp; Publication Expense</t>
  </si>
  <si>
    <t>Representation Expenses</t>
  </si>
  <si>
    <t>ACCOUNT</t>
  </si>
  <si>
    <t>Zoning Administration</t>
  </si>
  <si>
    <t>Office Supplies  Expenses</t>
  </si>
  <si>
    <t>Insurance Expenses</t>
  </si>
  <si>
    <t>2.0 Capital Outlay</t>
  </si>
  <si>
    <t xml:space="preserve"> Property, Plant and Equipment</t>
  </si>
  <si>
    <t xml:space="preserve">     Admin Staff</t>
  </si>
  <si>
    <t xml:space="preserve">     IA, FA,RIC, 4H</t>
  </si>
  <si>
    <t xml:space="preserve">     Admin Use</t>
  </si>
  <si>
    <t>Animal/Zoological Supplies Expenses</t>
  </si>
  <si>
    <t>5-02-03-040</t>
  </si>
  <si>
    <t xml:space="preserve">    Multicab</t>
  </si>
  <si>
    <t>Agricultural &amp; Marine Supplies Expenses</t>
  </si>
  <si>
    <t>5-02-03-100</t>
  </si>
  <si>
    <t xml:space="preserve">   Resource Persons for Various Agri projects</t>
  </si>
  <si>
    <t>INTEGRATED COASTAL RESOURCE MANAGEMENT</t>
  </si>
  <si>
    <t>FORM 2-A</t>
  </si>
  <si>
    <t>ANIMAL HEALTH SERVICES</t>
  </si>
  <si>
    <t xml:space="preserve">Training Expenses  </t>
  </si>
  <si>
    <t>5-02-03-050</t>
  </si>
  <si>
    <t>Donations</t>
  </si>
  <si>
    <t>1-07-06-010</t>
  </si>
  <si>
    <t>5-01-02-050</t>
  </si>
  <si>
    <t>Drugs &amp; Medicines Expenses</t>
  </si>
  <si>
    <t>5-02-03-070</t>
  </si>
  <si>
    <t>5-02-03-080</t>
  </si>
  <si>
    <t>1-07-04-030</t>
  </si>
  <si>
    <t xml:space="preserve">Hospitals &amp; Health Centers </t>
  </si>
  <si>
    <t>MEDICAL SERVICES</t>
  </si>
  <si>
    <t>Environment/Sanitary Services</t>
  </si>
  <si>
    <t xml:space="preserve">       Office Chair</t>
  </si>
  <si>
    <t xml:space="preserve">SECTORAL PARTICIPATION </t>
  </si>
  <si>
    <t>Regular Aid to Barangays</t>
  </si>
  <si>
    <t>Aid to Municipal Circuit Trial Court (MCTC)</t>
  </si>
  <si>
    <t>Aid to PNP</t>
  </si>
  <si>
    <t>Aid to BFP</t>
  </si>
  <si>
    <t>Aid to AFP</t>
  </si>
  <si>
    <t>Aid to Municipal Blood Council</t>
  </si>
  <si>
    <t>LGUlympics</t>
  </si>
  <si>
    <t>Palaro ng Lahi</t>
  </si>
  <si>
    <t>Other Youth Activities</t>
  </si>
  <si>
    <t xml:space="preserve">EDUCATION SERVICES </t>
  </si>
  <si>
    <t>Municipal Scholarship Program</t>
  </si>
  <si>
    <t>TOTAL SPA</t>
  </si>
  <si>
    <t>Total Capital Outlay</t>
  </si>
  <si>
    <t>Capital Outlay</t>
  </si>
  <si>
    <t>Printer</t>
  </si>
  <si>
    <t>Desktop Computer</t>
  </si>
  <si>
    <t>Furnitures &amp; Fixtures</t>
  </si>
  <si>
    <t>Total Appropriation</t>
  </si>
  <si>
    <t>Sub - Total</t>
  </si>
  <si>
    <t>GIDA Development Program</t>
  </si>
  <si>
    <t>Purchase of Relocation Land for the Landless Indigent Families ( 70 % Municipal Counterpart)</t>
  </si>
  <si>
    <t>Suma-Landfill Nawa (SLN) ang Basura ng Gloria Project (Operation of Sanitary Landfill Category I)</t>
  </si>
  <si>
    <t>Purchase of Lot for the IPS in Brgy. Buong Lupa</t>
  </si>
  <si>
    <t>Municipal Counterpart for the Purchase of Lot for the IPS in Sitio Pitong Gatang Brgy. Manguyang</t>
  </si>
  <si>
    <t>Additional Fund for Purchase of Relocation Land</t>
  </si>
  <si>
    <t>Construction of Additional SLF Facilities (Phase II) and repair &amp; maintenance of SLF</t>
  </si>
  <si>
    <t>Capital Expenditure for Local Economic Development Project:  Construction of Municipal Plaza Freedom Park</t>
  </si>
  <si>
    <t>Multi-Purpose Building cum Evacuatioon Center Project - Sta. Maria</t>
  </si>
  <si>
    <t>ALLOTMENT</t>
  </si>
  <si>
    <t>FOR THE MONTH</t>
  </si>
  <si>
    <t>PREVIOUS</t>
  </si>
  <si>
    <t>OBLIGATIONS</t>
  </si>
  <si>
    <t>FOR THE MONT</t>
  </si>
  <si>
    <t>Current Capital Outlay</t>
  </si>
  <si>
    <t>Continuing Capital Outlay</t>
  </si>
  <si>
    <t>Construction of Municipal Plaza/Freedom Park</t>
  </si>
  <si>
    <t xml:space="preserve"> Total Continuing Capital Outlay</t>
  </si>
  <si>
    <t>Motor Vehicles</t>
  </si>
  <si>
    <t>LCD Projector</t>
  </si>
  <si>
    <t>Office Equipment</t>
  </si>
  <si>
    <t xml:space="preserve"> TotalCurrent Capital Outlay</t>
  </si>
  <si>
    <t>TOTAL APPRORIATIONS</t>
  </si>
  <si>
    <t>TOTAL CURRENT CAPITAL OUTLAY</t>
  </si>
  <si>
    <t>CURRENT CAPITAL OUTLAY</t>
  </si>
  <si>
    <t>TOTAL  CAPITAL OUTLAY</t>
  </si>
  <si>
    <t xml:space="preserve"> ToTal Continuing Capital Outlay</t>
  </si>
  <si>
    <t>Total Current Capital Outlay</t>
  </si>
  <si>
    <t>Total Continuing Capital Outlay</t>
  </si>
  <si>
    <t xml:space="preserve"> TOTAL CURRENT CAPITAL OUTLAY</t>
  </si>
  <si>
    <t xml:space="preserve"> TOTAL CAPITAL OUTLAY</t>
  </si>
  <si>
    <t>APPROPRIATIONS</t>
  </si>
  <si>
    <t>TOTAL  CURRENT CAPITAL OUTLAY</t>
  </si>
  <si>
    <t>CONTINUING CAPITAL OUTLAY</t>
  </si>
  <si>
    <t xml:space="preserve"> TOTAL CONTINUING CAPITAL OUTLAY</t>
  </si>
  <si>
    <t xml:space="preserve">Reconstitutionof the ff. titles </t>
  </si>
  <si>
    <t>Corehousing Bulaklakan</t>
  </si>
  <si>
    <t>Municipal Town Plaza</t>
  </si>
  <si>
    <t xml:space="preserve"> CURRENT CAPITAL OUTLAY</t>
  </si>
  <si>
    <t>TOTAL CONTINUING CAPITAL OUTLAY</t>
  </si>
  <si>
    <t>TOTAL  APPROPRIATIONS</t>
  </si>
  <si>
    <t>TOTAL ALLOTMENT</t>
  </si>
  <si>
    <t>PROGRAM/PROJECTS/ACTIVITIES</t>
  </si>
  <si>
    <t>OBLIGATION</t>
  </si>
  <si>
    <t xml:space="preserve">TOTAL APPROPRIATIONS </t>
  </si>
  <si>
    <t xml:space="preserve">TOTAL APPROPRIATIOS </t>
  </si>
  <si>
    <t>YEAR</t>
  </si>
  <si>
    <t>Status of Appropriation, Allotments and Obligations</t>
  </si>
  <si>
    <t>GENERAL FUND CODE 101</t>
  </si>
  <si>
    <t xml:space="preserve">    Prepared by:</t>
  </si>
  <si>
    <t>EMIE R. MAHAGUAY</t>
  </si>
  <si>
    <t>SAAOB Encoder</t>
  </si>
  <si>
    <t>Certified Correct:</t>
  </si>
  <si>
    <t>SHERALEEN C. ABUAN</t>
  </si>
  <si>
    <t>Municipal Budget Officer</t>
  </si>
  <si>
    <t>AUDITING SERVICES</t>
  </si>
  <si>
    <t>HUMAN RESOURCE MANAGEMENT OFFICE</t>
  </si>
  <si>
    <t>Office of The Sangguniang Bayan</t>
  </si>
  <si>
    <t>MDRRMO</t>
  </si>
  <si>
    <t>Public Employment and Services Office</t>
  </si>
  <si>
    <t>MDRRMO-Admin</t>
  </si>
  <si>
    <t>TOURISM OFFICE</t>
  </si>
  <si>
    <t>GIST</t>
  </si>
  <si>
    <t>KALAHI</t>
  </si>
  <si>
    <t>Other Bonus and allowances</t>
  </si>
  <si>
    <t>Personnel Benefits Contributions</t>
  </si>
  <si>
    <t>Admin</t>
  </si>
  <si>
    <t>Liason Officer</t>
  </si>
  <si>
    <t>DILG</t>
  </si>
  <si>
    <t>Livelihood</t>
  </si>
  <si>
    <t>Youth and Sports</t>
  </si>
  <si>
    <t xml:space="preserve">            - Independence Day Celebration</t>
  </si>
  <si>
    <t>Other Supplies &amp; Materials Expenses</t>
  </si>
  <si>
    <t>Extra Ordinary and Miscellaneus Expenses</t>
  </si>
  <si>
    <t xml:space="preserve">          - Independence Day Celebration</t>
  </si>
  <si>
    <t>People's Day /SOBA</t>
  </si>
  <si>
    <t>Annual Web Hosting</t>
  </si>
  <si>
    <t>ZOOM Subscription</t>
  </si>
  <si>
    <t>Financial Expenses</t>
  </si>
  <si>
    <t>Project-Settlement of LGU Project Loan</t>
  </si>
  <si>
    <t>Interest Expenses</t>
  </si>
  <si>
    <t>Amortization Expenses( Principal Loan Payment)</t>
  </si>
  <si>
    <t>Total Financial Expenses</t>
  </si>
  <si>
    <t>Park's,Plazas, &amp; Monuments</t>
  </si>
  <si>
    <t>Stand Fans</t>
  </si>
  <si>
    <t>Information &amp; Communication Technology Equipment</t>
  </si>
  <si>
    <t>Projector</t>
  </si>
  <si>
    <t>Other Property Plant &amp; Equipment</t>
  </si>
  <si>
    <t>Fabrication of Municipal Directional Signages</t>
  </si>
  <si>
    <t>Taxes Duties and Licenses</t>
  </si>
  <si>
    <t xml:space="preserve">     -One Stop Shop</t>
  </si>
  <si>
    <t>eBPLS Server &amp; Peripherals</t>
  </si>
  <si>
    <t>Establishment of all year round BOSS</t>
  </si>
  <si>
    <t xml:space="preserve">      - Employees Awards and Recognition</t>
  </si>
  <si>
    <t>Representation expense</t>
  </si>
  <si>
    <t>CPO/RCPO Meetings</t>
  </si>
  <si>
    <t xml:space="preserve">Employees Day Celebration </t>
  </si>
  <si>
    <t>Training &amp; Seminars Expenses</t>
  </si>
  <si>
    <t>Represetation Expenses</t>
  </si>
  <si>
    <t>Salamat, Mabuhay Program</t>
  </si>
  <si>
    <t>Other Supplies and Materials Expenses</t>
  </si>
  <si>
    <t>Certificates &amp; Token</t>
  </si>
  <si>
    <t>Furniture &amp; Fixtures - Executive Chairs</t>
  </si>
  <si>
    <t>Office of the Municipal Administrator</t>
  </si>
  <si>
    <t xml:space="preserve">     Other  Bonuses and Allowances</t>
  </si>
  <si>
    <t>Motorcycle/Brush Cutter</t>
  </si>
  <si>
    <t>Heavy Equipment</t>
  </si>
  <si>
    <t>Electricity Expense</t>
  </si>
  <si>
    <t>Repair &amp; maintenance- Furniture &amp; Fixtures</t>
  </si>
  <si>
    <t>Taxes, Licenses</t>
  </si>
  <si>
    <t xml:space="preserve">         - Laptop Computer</t>
  </si>
  <si>
    <t xml:space="preserve">        - Filing Cabinets/Metal Cabinets</t>
  </si>
  <si>
    <t xml:space="preserve">        - Office tables and Swivel Chairs</t>
  </si>
  <si>
    <t>GENERAL FACILITY AND SUPPLY MANAGEMENT</t>
  </si>
  <si>
    <t>PROPERTY ACQUISITION, UPGRADING 7 IMPROVEMENT</t>
  </si>
  <si>
    <t>Utility Supplies</t>
  </si>
  <si>
    <t xml:space="preserve">Protective gear/safety gear </t>
  </si>
  <si>
    <t>Repairs &amp; Maintenance of Municipal Buildings &amp; Other Structure</t>
  </si>
  <si>
    <t>Repairs &amp; Maintenance of Buildings &amp; Other Structure</t>
  </si>
  <si>
    <t>Office Building</t>
  </si>
  <si>
    <t>Other Structures</t>
  </si>
  <si>
    <t>Repair &amp; maintenance of Municipal  Machinery &amp; Equipment</t>
  </si>
  <si>
    <t>Repair &amp; maintenance - Other  Machinery &amp; Equipment</t>
  </si>
  <si>
    <t>Other Machinery &amp; Equipment</t>
  </si>
  <si>
    <t>Water System</t>
  </si>
  <si>
    <t>Electrical System</t>
  </si>
  <si>
    <t>Sound System</t>
  </si>
  <si>
    <t>Utility Equipment</t>
  </si>
  <si>
    <t>Repairs &amp; Maintenance - Transportation Equipment</t>
  </si>
  <si>
    <t>Motor Vehicle Motorcycle</t>
  </si>
  <si>
    <t>Insurance Coverage of Priority Government Buildings, Heavy Equipment,Vehicles and Other LGU Assets</t>
  </si>
  <si>
    <t>Buildings</t>
  </si>
  <si>
    <t>Motor Vehicle- Motorcycle</t>
  </si>
  <si>
    <t>Acquisition of Machineries and Other Tools &amp; Equipment</t>
  </si>
  <si>
    <t>Machinery</t>
  </si>
  <si>
    <t>Electric Water Pressure Pump</t>
  </si>
  <si>
    <t>1-07-05-010</t>
  </si>
  <si>
    <t>Brush Cutter</t>
  </si>
  <si>
    <t>Hammer &amp; Drill</t>
  </si>
  <si>
    <t>Disater Response &amp; Rescue Equipment</t>
  </si>
  <si>
    <t>Fire Extinguiher</t>
  </si>
  <si>
    <t>Ladder</t>
  </si>
  <si>
    <t>Utility Tools and Equipment</t>
  </si>
  <si>
    <t xml:space="preserve"> TOTAL APPROPRIATIONS</t>
  </si>
  <si>
    <t xml:space="preserve">       Other Bonuses &amp; Allow. (Coll.Negotiation Incentive)</t>
  </si>
  <si>
    <t>Barangay Legislation</t>
  </si>
  <si>
    <t>Public Hearing</t>
  </si>
  <si>
    <t>Subscription Expense</t>
  </si>
  <si>
    <t>Online Legal Subscription</t>
  </si>
  <si>
    <t xml:space="preserve">         Councilor's League</t>
  </si>
  <si>
    <t xml:space="preserve">          Vice-Mayor's League</t>
  </si>
  <si>
    <t xml:space="preserve">         PLEASES</t>
  </si>
  <si>
    <t>Repair &amp; maintenance- Building &amp; Other Structures</t>
  </si>
  <si>
    <t xml:space="preserve"> Trainings and Seminars - MDRRM Staff and rescuers</t>
  </si>
  <si>
    <t>SFAT- BLS (9-11)</t>
  </si>
  <si>
    <t>School Teachers</t>
  </si>
  <si>
    <t>Barangay Rescue Team</t>
  </si>
  <si>
    <t>Volunteers</t>
  </si>
  <si>
    <t>Other Stakeholders</t>
  </si>
  <si>
    <t>Training for Rescuers</t>
  </si>
  <si>
    <t>Conduct of Post traumatic Stress Debriefing</t>
  </si>
  <si>
    <t>Online Emergency Management Application</t>
  </si>
  <si>
    <t>Food Supplies</t>
  </si>
  <si>
    <t>Prepositioned Relief Goods/  Food Items</t>
  </si>
  <si>
    <t>Medical, dental and laboratory Supplies</t>
  </si>
  <si>
    <t>Fabrication and distribution of facemask</t>
  </si>
  <si>
    <t>Procurement and Distribution of Disinfectants, Sanitation and Cleaning Agents</t>
  </si>
  <si>
    <t>Procurement and Distribution of Thermal Scanners</t>
  </si>
  <si>
    <t>Procurement and Distribution of Water Chlorine Tablets</t>
  </si>
  <si>
    <t>Fuel, Oil &amp; Lubricants</t>
  </si>
  <si>
    <t>Agricultural and Marine supplies Expenses</t>
  </si>
  <si>
    <t>Tree Planting and Mangrove planting- propagules &amp; seedlings</t>
  </si>
  <si>
    <t xml:space="preserve">   Other Supplies and Materials Expense</t>
  </si>
  <si>
    <t>Publication, production and reproduction of various IEC materials and documents</t>
  </si>
  <si>
    <t>Reproduction of different evacuation and health related forms</t>
  </si>
  <si>
    <t>Cooking Gas Expense</t>
  </si>
  <si>
    <t>Telephone Expenses</t>
  </si>
  <si>
    <t>Load for Satellite phone</t>
  </si>
  <si>
    <t>Load for CARES</t>
  </si>
  <si>
    <t>Prizes</t>
  </si>
  <si>
    <t xml:space="preserve">   Repair and Maintenance-Building and Other Structures</t>
  </si>
  <si>
    <t>MDRRMO Building</t>
  </si>
  <si>
    <t>Acrylic/Glass Counter or Office Shields</t>
  </si>
  <si>
    <t>Handwashing in all municipal facilities</t>
  </si>
  <si>
    <t>Repairs and maintenance- Machinery &amp; Equipment</t>
  </si>
  <si>
    <t>Disaster Response and Rescue Equipment</t>
  </si>
  <si>
    <t xml:space="preserve">   Repair and Maintenance-TransportationEquipment</t>
  </si>
  <si>
    <t>Rescue Vehicles</t>
  </si>
  <si>
    <t>Watercrafts</t>
  </si>
  <si>
    <t xml:space="preserve">   Representation  Expense</t>
  </si>
  <si>
    <t>Earthquake/Fire Drills</t>
  </si>
  <si>
    <t>Information,Education Campaign on Diff. Hazards</t>
  </si>
  <si>
    <t>Fabrication and Installation of Steel Rack for MDRRMC Warehouse</t>
  </si>
  <si>
    <t>Binding Machine</t>
  </si>
  <si>
    <t>Laptop with Printer</t>
  </si>
  <si>
    <t>Communication Equipment</t>
  </si>
  <si>
    <t>1-07-05-070</t>
  </si>
  <si>
    <t>Megaphone</t>
  </si>
  <si>
    <t>Motor Vehichles</t>
  </si>
  <si>
    <t>Municipal Counterpart for the Procurement of Additional Brgy. Rescue Vehicles</t>
  </si>
  <si>
    <t>Government Internship Program</t>
  </si>
  <si>
    <t>Work Immersion Program (WIP)</t>
  </si>
  <si>
    <t>Organization &amp; Strengthening of OFCs</t>
  </si>
  <si>
    <t>Honorarium of PESO Manager</t>
  </si>
  <si>
    <t>Financial Assistance to Returning and Distressed OFW's Fly Now, Pay Later Project</t>
  </si>
  <si>
    <t xml:space="preserve"> Maintenance and Other Operating Expenses</t>
  </si>
  <si>
    <t>Special Program for Employment of Students (SPES)</t>
  </si>
  <si>
    <t xml:space="preserve">            Other Professional Services</t>
  </si>
  <si>
    <t>Traveling Expenses</t>
  </si>
  <si>
    <t>Other Supplies and Material Expenses</t>
  </si>
  <si>
    <t xml:space="preserve">            Telephone Expenses</t>
  </si>
  <si>
    <t>5-02-05020</t>
  </si>
  <si>
    <t xml:space="preserve">      Consultancy Services</t>
  </si>
  <si>
    <t xml:space="preserve">    Other Professional Services</t>
  </si>
  <si>
    <t xml:space="preserve">      Representation Expenses</t>
  </si>
  <si>
    <t xml:space="preserve">      Traveling Expenses</t>
  </si>
  <si>
    <t>5-03-99-030</t>
  </si>
  <si>
    <t>Total Maintenance and Other Operating Expenses</t>
  </si>
  <si>
    <t>ADMINISTRATIVE SERVICES</t>
  </si>
  <si>
    <t>Barangay employment Coordinator Volunteers</t>
  </si>
  <si>
    <t>LABOR, MARKET AND INFORMATION SERVICES</t>
  </si>
  <si>
    <t>Transportation and Delivery Expenses</t>
  </si>
  <si>
    <t>Conduct of Local Handicrafts Training</t>
  </si>
  <si>
    <t>Conduct of Livelihood and Skills Training</t>
  </si>
  <si>
    <t>Professional regulations Commission (PRC) Mobile Services</t>
  </si>
  <si>
    <t>EMPLOYMENT GUIDANCE AND COUNSELING</t>
  </si>
  <si>
    <t>Establishment and Operation of Municipal Employment &amp; Livelihood Training Center, Common Service Facility for Engineered Bamboo</t>
  </si>
  <si>
    <t>Establishment and Operation of PCA Coco Hub</t>
  </si>
  <si>
    <t>Other Services- Municipal Cooperative Coordination</t>
  </si>
  <si>
    <t>Other machinery &amp; Equipment - Electrical System</t>
  </si>
  <si>
    <t>Engineered Bamboo CSF( 3 Phase Power Supply System)</t>
  </si>
  <si>
    <t>Taxes,Duties &amp; Licenses</t>
  </si>
  <si>
    <t>Renewal of LTO Licenses</t>
  </si>
  <si>
    <t xml:space="preserve">Training Expenses </t>
  </si>
  <si>
    <t>Formulation of Tourism Master plan</t>
  </si>
  <si>
    <t>Tourism Organizations (Walang Langit &amp; Agsalin)</t>
  </si>
  <si>
    <t>Teatro Gloriano Workshop</t>
  </si>
  <si>
    <t xml:space="preserve">Other Supplies and Materials Expenses </t>
  </si>
  <si>
    <t>Snorkel Set and Life Jackets (Agsalin and Sta Theresa)</t>
  </si>
  <si>
    <t>Hard Hats (Phantom Cave)</t>
  </si>
  <si>
    <t>CBRTO's/Tour guide Uniform</t>
  </si>
  <si>
    <t>Kawayanan Village supplies</t>
  </si>
  <si>
    <t>LGU Night props &amp; costume</t>
  </si>
  <si>
    <t>Token - Trade fair (bamboo making contest) with MAGO</t>
  </si>
  <si>
    <t>Senior Citizen's Night</t>
  </si>
  <si>
    <t>Gabi ng Gloriano (People's Night)</t>
  </si>
  <si>
    <t>Repairs and Maintenance- Building and Other Structures</t>
  </si>
  <si>
    <t>Other Structures - Kawayanan Villlage</t>
  </si>
  <si>
    <t>Building - Tourism Office</t>
  </si>
  <si>
    <t>Other Structures - Pasalubong Center( OTOP)</t>
  </si>
  <si>
    <t>Repair &amp; maintenance- Machinery &amp; Equipment.</t>
  </si>
  <si>
    <t>Tourism Sites and Activities Backdraft</t>
  </si>
  <si>
    <t>Meetings</t>
  </si>
  <si>
    <t>DepEd Night</t>
  </si>
  <si>
    <t>Parada ng Sambayanan</t>
  </si>
  <si>
    <t>Camera</t>
  </si>
  <si>
    <t>PROVINCIAL FOUNDING ANNIVERSARY CELEBRATION</t>
  </si>
  <si>
    <t>Fiesta Mahalta Na</t>
  </si>
  <si>
    <t>hired service (jeepney/van)</t>
  </si>
  <si>
    <t>Costume, T-shirt Drumers and props</t>
  </si>
  <si>
    <t>Musical Instruments</t>
  </si>
  <si>
    <t>Choreographer</t>
  </si>
  <si>
    <t>Representation Expenses (Meals &amp; Snacks)</t>
  </si>
  <si>
    <t>Miss Oriental</t>
  </si>
  <si>
    <t>Dress, shoes, accessories</t>
  </si>
  <si>
    <t>Props.etc</t>
  </si>
  <si>
    <t>choreograper</t>
  </si>
  <si>
    <t>Make-up artist</t>
  </si>
  <si>
    <t xml:space="preserve">Donations </t>
  </si>
  <si>
    <t>F.A to Candidate 5k &amp; Handler3k</t>
  </si>
  <si>
    <t>Ms. Or. Mdo. Queen (Ms. Gay)</t>
  </si>
  <si>
    <t>Dress, shoes, accessories and dancers custume and props</t>
  </si>
  <si>
    <t>F.A to Candidate5k &amp; Handler3k</t>
  </si>
  <si>
    <t>CULTURE, ARTS AND HERITAGE PROMOTION PROGRAM</t>
  </si>
  <si>
    <t>Regular Conduct of Municipal Level Tourism Events/Activities</t>
  </si>
  <si>
    <t>a) KAWAYANAN FESTIVAL</t>
  </si>
  <si>
    <t>1) Miss Gloria Tourism</t>
  </si>
  <si>
    <t>tokens,certificate,trophies,crown,swimsuit,props-tela, shoes, sash,accessories,dancer costume,uniform-candidates &amp; organizers</t>
  </si>
  <si>
    <t xml:space="preserve">Prizes </t>
  </si>
  <si>
    <t>honorarium of Judges and host</t>
  </si>
  <si>
    <t>directors fee</t>
  </si>
  <si>
    <t xml:space="preserve">Representation Expenses </t>
  </si>
  <si>
    <t>Stage Décors</t>
  </si>
  <si>
    <t>lights and sound with LED wall</t>
  </si>
  <si>
    <t>2) Street Dancing</t>
  </si>
  <si>
    <t>Flowers</t>
  </si>
  <si>
    <t>Judges  Honorarium</t>
  </si>
  <si>
    <t xml:space="preserve">lights and sound </t>
  </si>
  <si>
    <t>Financial Assistance (8 clusters x 30k = 240k)</t>
  </si>
  <si>
    <t>b) Municipal Level Tourism Summer Activities</t>
  </si>
  <si>
    <t>judges token, flowers,frames, vellum papers,ink,bond paper,etc.</t>
  </si>
  <si>
    <t xml:space="preserve"> Kulturang Gloriano - Sagalahan &amp; Centurion</t>
  </si>
  <si>
    <t>Financial Assistance (Gabi ng Kulturang Gloriano 27 brgys. X P2,000)</t>
  </si>
  <si>
    <t>c) Municipal Level Tourism Year-end Activities</t>
  </si>
  <si>
    <t>Financial Assistance (PASINAG 27 brgys. X P5000)</t>
  </si>
  <si>
    <t>5-02-06-020</t>
  </si>
  <si>
    <t>Other Supplies &amp; Material Expenses</t>
  </si>
  <si>
    <t xml:space="preserve">Telephone Expenses </t>
  </si>
  <si>
    <t xml:space="preserve">Legal Services </t>
  </si>
  <si>
    <t>Regular Services</t>
  </si>
  <si>
    <t>Special Services</t>
  </si>
  <si>
    <t>Repairs &amp; Maintenance- Machinery &amp; Equipment.</t>
  </si>
  <si>
    <t>Information &amp; Communication Technology Equip.</t>
  </si>
  <si>
    <t>Other Machinery and Equipment</t>
  </si>
  <si>
    <t xml:space="preserve">Water System </t>
  </si>
  <si>
    <t>Repairs &amp; Maintenance- Transportation Equipment</t>
  </si>
  <si>
    <t>Motor Vehicle  - Motorcycle</t>
  </si>
  <si>
    <t xml:space="preserve"> - FB Van/Toyota Vios</t>
  </si>
  <si>
    <t>Car Registration</t>
  </si>
  <si>
    <t>Assessment Center Accreditation and Renewal</t>
  </si>
  <si>
    <t xml:space="preserve">UTPRAS Program Registration </t>
  </si>
  <si>
    <t>School Building</t>
  </si>
  <si>
    <t xml:space="preserve">Construction of Small Wash Room/Lavatory </t>
  </si>
  <si>
    <t xml:space="preserve">Machinery </t>
  </si>
  <si>
    <t>CCTV Cameras</t>
  </si>
  <si>
    <t>Maintenance and Other Operating  Expenses</t>
  </si>
  <si>
    <t>Sustainability Evaluation</t>
  </si>
  <si>
    <t>MSIT Orientation/Seminar</t>
  </si>
  <si>
    <t>Organizational Meeting w/ Operation &amp; Maint. Groups</t>
  </si>
  <si>
    <t>Community Volunteers Meeting/Workshop</t>
  </si>
  <si>
    <t>Municipal Fiduciary Workshop</t>
  </si>
  <si>
    <t>Repair &amp; Maintenance Expenses - Machinery &amp; Equipment</t>
  </si>
  <si>
    <t>MIAC Meeting</t>
  </si>
  <si>
    <t>Capital Outlays</t>
  </si>
  <si>
    <t xml:space="preserve">Printer 3 in 1 </t>
  </si>
  <si>
    <t>Laptops</t>
  </si>
  <si>
    <t>Desktop PC</t>
  </si>
  <si>
    <t>Steel filing Cabinets</t>
  </si>
  <si>
    <t>Total Capital Outlays</t>
  </si>
  <si>
    <t>Total Current Capital Outlays</t>
  </si>
  <si>
    <t>Total Cont. Capital Outlays</t>
  </si>
  <si>
    <t xml:space="preserve"> Continuing Capital Outlays</t>
  </si>
  <si>
    <t xml:space="preserve">             Electric Fan (2 units)</t>
  </si>
  <si>
    <t xml:space="preserve">              Printer 3 in 1 (2 units)</t>
  </si>
  <si>
    <t xml:space="preserve">              Office revolving chair (3 pcs.)</t>
  </si>
  <si>
    <t xml:space="preserve">              Steel filing cabinet (2 pcs.)</t>
  </si>
  <si>
    <t xml:space="preserve">Fuel, Oil and Lubricants Expenses </t>
  </si>
  <si>
    <t>Repairs &amp; Maintenance -Building &amp; Other Structures</t>
  </si>
  <si>
    <t>Market Building</t>
  </si>
  <si>
    <t xml:space="preserve">Repairs &amp; Maintenance- Machinery &amp; Equipment </t>
  </si>
  <si>
    <t>Repairs &amp; Maintenance - Buildings.&amp; Other Structures</t>
  </si>
  <si>
    <t>Slaughterhouse Building</t>
  </si>
  <si>
    <t>CEMETERY</t>
  </si>
  <si>
    <t>Repair and Maintenance -Building &amp; Other Structures</t>
  </si>
  <si>
    <t>Cemetery Office</t>
  </si>
  <si>
    <t>Repair and Maintenance -Machinery &amp; Equipment</t>
  </si>
  <si>
    <t>Other Machinery &amp; Equipment.- Water System</t>
  </si>
  <si>
    <t>Property Plant and Equipment</t>
  </si>
  <si>
    <t>Directory Map and Signages</t>
  </si>
  <si>
    <t>1-07-04-990</t>
  </si>
  <si>
    <t>Agricultural and Marine Supplies Expenses</t>
  </si>
  <si>
    <t>Repair and Maintenance - Buildings &amp; Other Structures</t>
  </si>
  <si>
    <t>Other Structures - Fence</t>
  </si>
  <si>
    <t>Personal Services</t>
  </si>
  <si>
    <t>Salaries and Wages</t>
  </si>
  <si>
    <t xml:space="preserve">Salaries and Wages - Regular </t>
  </si>
  <si>
    <t>Other Compensation</t>
  </si>
  <si>
    <t>Personal Economic  Relief Allow.(PERA)</t>
  </si>
  <si>
    <t>Representation Allowance(RA)</t>
  </si>
  <si>
    <t>Transportation Allowance(TA)</t>
  </si>
  <si>
    <t>Clothing/Uniform Allowance</t>
  </si>
  <si>
    <t>Hazard Pay</t>
  </si>
  <si>
    <t>Year End Bonus</t>
  </si>
  <si>
    <t>Cash Gift</t>
  </si>
  <si>
    <t xml:space="preserve">Other Bonuses &amp; Allowances </t>
  </si>
  <si>
    <t>Mid Year Bonus</t>
  </si>
  <si>
    <t>Productivity Enhancement Incentive</t>
  </si>
  <si>
    <t>Collective Negotiated Agreement</t>
  </si>
  <si>
    <t>Anniversary Bonus</t>
  </si>
  <si>
    <t>Service Recognition Incentive</t>
  </si>
  <si>
    <t>Retirement and Life Insurance Premiums</t>
  </si>
  <si>
    <t>PAG-IBIG Contributions</t>
  </si>
  <si>
    <t>PHILHEALTH Contributions</t>
  </si>
  <si>
    <t>Employees Compensation Insurance Premiums</t>
  </si>
  <si>
    <t xml:space="preserve">Admin </t>
  </si>
  <si>
    <t>PMEC</t>
  </si>
  <si>
    <t>Ecological Profile/Briefing Kit</t>
  </si>
  <si>
    <t>Annual Report</t>
  </si>
  <si>
    <t>Fuel, Oil &amp; Lubricants Expenses</t>
  </si>
  <si>
    <t>Repairs &amp; Maintenance- Building &amp; Other Structures</t>
  </si>
  <si>
    <t>Office Improvement for Window Transaction</t>
  </si>
  <si>
    <t>Repairs &amp; Maintenance -Transportation Equipment</t>
  </si>
  <si>
    <t>Motor Vehicles - Motorcycle</t>
  </si>
  <si>
    <t>LED/Flat Screen Television with Wall Mount</t>
  </si>
  <si>
    <t>Electric Desk Fan</t>
  </si>
  <si>
    <t>Acrylic Table Barrier</t>
  </si>
  <si>
    <t>Office Counter Top-cum Cabinet</t>
  </si>
  <si>
    <t>Steel Racks</t>
  </si>
  <si>
    <t>PLANNING, PROGRAMMING AND PROJECT DEVELOPMENT ACTIVITIES</t>
  </si>
  <si>
    <t>Thematic Plans (TDP, RGP. LTRP, &amp; YDP)</t>
  </si>
  <si>
    <t>Training Expenses-CBMS</t>
  </si>
  <si>
    <t>LDIP &amp; AIP Prep</t>
  </si>
  <si>
    <t>MONITORING AND EVALUATION</t>
  </si>
  <si>
    <t>Mid-Year &amp; Annual Performance Review</t>
  </si>
  <si>
    <t>Barangay Workshop on 20% DF &amp; SKF Utilization</t>
  </si>
  <si>
    <t>Maintenance and Other Operating Expenses</t>
  </si>
  <si>
    <t>Salaries/Wages - Casual</t>
  </si>
  <si>
    <t>Collective Negotiation Agreement Incentive</t>
  </si>
  <si>
    <t>Civil Reg.Forum for School Heads both Public &amp; private Elem.&amp; Secondary Schools</t>
  </si>
  <si>
    <t>Civil Registration Activities:</t>
  </si>
  <si>
    <t>Semi Annual Meeting of Brgy Secretary</t>
  </si>
  <si>
    <t>Integrated Mobile Registration - Minority</t>
  </si>
  <si>
    <t xml:space="preserve"> Information &amp; Comm.Technology Equipment</t>
  </si>
  <si>
    <t xml:space="preserve">Furniture &amp; Fixtures </t>
  </si>
  <si>
    <t>Fabrication of Bulletin Board</t>
  </si>
  <si>
    <t xml:space="preserve">  CONTINUING CAPITAL OUTLAY</t>
  </si>
  <si>
    <t>OFFICE OF THE MUNICIPAL CIVIL REGISTRAR</t>
  </si>
  <si>
    <t xml:space="preserve">Personal Services </t>
  </si>
  <si>
    <t>Salaries and Wages - Regular</t>
  </si>
  <si>
    <t>Salaries and Wages - Casual</t>
  </si>
  <si>
    <t>Overtime &amp; Night pay</t>
  </si>
  <si>
    <t>Printer/Copier</t>
  </si>
  <si>
    <t>Office Kitchen Appliances (Coffe maker, Multi-Purpose Electric Oven)</t>
  </si>
  <si>
    <t xml:space="preserve"> Total Current Capital Outlay</t>
  </si>
  <si>
    <t>TOTAL CAPITAL OUTLAYS</t>
  </si>
  <si>
    <t>Repairs &amp; Maintenance- Buildings &amp; Other Structures</t>
  </si>
  <si>
    <t>Repairs &amp; Maintenance- Machinery &amp; Equipment</t>
  </si>
  <si>
    <t>Printing &amp; Publication Expenses</t>
  </si>
  <si>
    <t>Budget Meetings &amp; Hearings</t>
  </si>
  <si>
    <t>Barangay Capability Training</t>
  </si>
  <si>
    <t>Collective Negotiated Agreement Incentive</t>
  </si>
  <si>
    <t>Awards/ Rewards Expenses</t>
  </si>
  <si>
    <t>Repair &amp; maintenance- Machinery &amp; Equipment</t>
  </si>
  <si>
    <t>Infortmation &amp; Communication Technology Equipment</t>
  </si>
  <si>
    <t>Enhancement of Barangay/SK Finacial Reporting System</t>
  </si>
  <si>
    <t xml:space="preserve">  - Office Table &amp; Chairs</t>
  </si>
  <si>
    <t>Other Property Palnt &amp; equipment</t>
  </si>
  <si>
    <t>Office Kitchen Appliances(Microwave, Coffee maker)</t>
  </si>
  <si>
    <t>Office of the Municipal Budget</t>
  </si>
  <si>
    <t>Office of the Municipal Accountant</t>
  </si>
  <si>
    <t>Office of the Municipal Treasurer</t>
  </si>
  <si>
    <t>Revenue Generation Project</t>
  </si>
  <si>
    <t>Motor Vehicle - Motorcycle</t>
  </si>
  <si>
    <t>Repairs &amp; Maintenance-Other Property, Plant &amp; Equipment</t>
  </si>
  <si>
    <t>i-TAX System - PTO</t>
  </si>
  <si>
    <t>Taxes, Duties &amp; Licenses</t>
  </si>
  <si>
    <t>Fidelity Bond Premiums</t>
  </si>
  <si>
    <t>Laptop</t>
  </si>
  <si>
    <t>Furnitures and Fixtures</t>
  </si>
  <si>
    <t>Filing Cabinets</t>
  </si>
  <si>
    <t>Sala Set/Sofa Set</t>
  </si>
  <si>
    <t>Office of the  Municipal Assessor</t>
  </si>
  <si>
    <t xml:space="preserve">Repairs &amp; Maintenance- Machinery &amp; Equipment. </t>
  </si>
  <si>
    <t>Repair &amp; Maint-Transportation Equipment</t>
  </si>
  <si>
    <t>MLGU/BLGU Untitled Properties Inventory &amp; Assessment</t>
  </si>
  <si>
    <t>Judicial Reconstitution of Old Cemetery</t>
  </si>
  <si>
    <t>Re-issuance of Lost Title (Morales Property)</t>
  </si>
  <si>
    <t>Titling of (3) Untitled Municipal Properties</t>
  </si>
  <si>
    <t>Land</t>
  </si>
  <si>
    <t>1-07-01-010</t>
  </si>
  <si>
    <t>Aircon 2HP</t>
  </si>
  <si>
    <t>Stand Fan</t>
  </si>
  <si>
    <t>Office of the Municipal Health Officer</t>
  </si>
  <si>
    <t>Salaries and Wages-Regular Pay</t>
  </si>
  <si>
    <t xml:space="preserve">Subsistence Allowance </t>
  </si>
  <si>
    <t>Honoraria</t>
  </si>
  <si>
    <t xml:space="preserve">Hazard Pay </t>
  </si>
  <si>
    <t>Special Risk Allowance</t>
  </si>
  <si>
    <t>Retitrement and Life Insurance Premiums</t>
  </si>
  <si>
    <t>5-01-02-100</t>
  </si>
  <si>
    <t>Ambulance Drivers</t>
  </si>
  <si>
    <t>Staff</t>
  </si>
  <si>
    <t>Lakbay aral BNS</t>
  </si>
  <si>
    <t>Admin Staff</t>
  </si>
  <si>
    <t>BHERTs</t>
  </si>
  <si>
    <t xml:space="preserve">BNS  </t>
  </si>
  <si>
    <t>Local Health Board</t>
  </si>
  <si>
    <t>Barangay Health Leadership Management Program</t>
  </si>
  <si>
    <t>Municipal Health Office</t>
  </si>
  <si>
    <t>Senior Citizen 5%</t>
  </si>
  <si>
    <t>PWDs 5%</t>
  </si>
  <si>
    <t>Mental Health</t>
  </si>
  <si>
    <t>Emergency Medicines/Covid-19</t>
  </si>
  <si>
    <t>BGCM Grants PPAs</t>
  </si>
  <si>
    <t>MHO Medical and Laboratory Supplies</t>
  </si>
  <si>
    <t>Fuel,oil &amp; Lubricants Expenses.</t>
  </si>
  <si>
    <t>Ambulances and Motorcycle</t>
  </si>
  <si>
    <t>BGCM Grants (PPE's, Facemasks, Linens &amp; Beddings)</t>
  </si>
  <si>
    <t>Legal Services-</t>
  </si>
  <si>
    <t>Repairs &amp; Maintenance.- Building &amp; Other Structures</t>
  </si>
  <si>
    <t>MHO Kitchen</t>
  </si>
  <si>
    <t>MHO ceiling &amp; roof</t>
  </si>
  <si>
    <t>Medical &amp; Dental Equipment</t>
  </si>
  <si>
    <t>Electrical System-Installation of Generator Set</t>
  </si>
  <si>
    <t>- Ambulances (2)</t>
  </si>
  <si>
    <t>DOH LTO of BEMONC</t>
  </si>
  <si>
    <t>DOH LTO of Laboratory</t>
  </si>
  <si>
    <t>PHILHEALTH Accreditation</t>
  </si>
  <si>
    <t>Motorcycle/Ambulances</t>
  </si>
  <si>
    <t>ELHB and MNC Meeting</t>
  </si>
  <si>
    <t>Staff Meeting/visitors</t>
  </si>
  <si>
    <t>Construction of Record Area Extension</t>
  </si>
  <si>
    <t>Procurement and installation of Exhaust Fans</t>
  </si>
  <si>
    <t>Maintenance and other Operating Expenses</t>
  </si>
  <si>
    <t>FACILITATION AND PROVISION OF TRAINING &amp; INCENTIVES FOR BHW, BNS, BHERTS/BHLMT</t>
  </si>
  <si>
    <t xml:space="preserve">Travelling Expenses </t>
  </si>
  <si>
    <t xml:space="preserve">BHW Federation President/Representative </t>
  </si>
  <si>
    <t>BNS Reports</t>
  </si>
  <si>
    <t>BHW Reports</t>
  </si>
  <si>
    <t xml:space="preserve">BNS </t>
  </si>
  <si>
    <t xml:space="preserve">BHW </t>
  </si>
  <si>
    <t>Barangay Health Workers (205@P6,000.00)</t>
  </si>
  <si>
    <t>Barangay Nutrition Scholars ( 27@P14,400.00 )</t>
  </si>
  <si>
    <t>Maternal, Neonatal, Child Health and Nutrition Garantisadong Pambata Project</t>
  </si>
  <si>
    <t>Non-Communicable  Disease   Awareness  Campaign  ADK  Club, Anti - Smoking  Campaign, Anti - Drug    Abuse  Campaign, Cervical   and  Prostate Cancer Awareness Campaign</t>
  </si>
  <si>
    <t>Communicable Disease Awareness Campaign TB, Leprosy, Rabies Prevention and Control   Project</t>
  </si>
  <si>
    <t>Vector Borne Disease Awareness Campaign Dengue, Filaria, Malaria, Zika Control Project</t>
  </si>
  <si>
    <t>RTI / HIV Prevention and Adolescent Sexuality and Reproductive Health Campaign FHSIS and Nutrition Program</t>
  </si>
  <si>
    <t>Nutirition Month Celebration (Municipal/Provincial) Pabasa sa Nutrisyon Project</t>
  </si>
  <si>
    <t>Food Supplies Expenses</t>
  </si>
  <si>
    <t>Supplemental Food</t>
  </si>
  <si>
    <t>Medical, Dental and Laboratory Supplies</t>
  </si>
  <si>
    <t>Maternal, Neonatal, Child Health and Nutrition</t>
  </si>
  <si>
    <t>Communicable Disease Awareness Campaign</t>
  </si>
  <si>
    <t>Non - Communicable Disease Awareness Campaign</t>
  </si>
  <si>
    <t>Nutrition Month Celebration (Municipal and Provincial)</t>
  </si>
  <si>
    <t>Hataw Bayan Award</t>
  </si>
  <si>
    <t>Non-Communicable Disease Awareness Campaign  ADK Club, Anti - Smoking Campaign, Anti - Drug Abuse Campaign, Cervical and Prostate Cancer Awareness Campaign</t>
  </si>
  <si>
    <t>Communicable Disease Awareness Campaign TB, Leprosy, Rabies Prevention and Control Project</t>
  </si>
  <si>
    <t>RTI/HIV Prevention and Adolescent Sexuality and Reproductive Health Campaign FHSIS and Nutrition Program</t>
  </si>
  <si>
    <t>Pabasa sa Nutrisyon Project Maternal, Neonatal, Child Health and Nutrition Garantisadong Pambata Project</t>
  </si>
  <si>
    <t>Dental Supplies</t>
  </si>
  <si>
    <t>Food Handlers</t>
  </si>
  <si>
    <t>Environmental and Sanitation Program</t>
  </si>
  <si>
    <t>Food Handlers Training Dengue, Filaria, Malaria, Zika Control Project</t>
  </si>
  <si>
    <t>Other Services</t>
  </si>
  <si>
    <t>Provision of Incentives for BHERTs (54 x 720.00 x12)</t>
  </si>
  <si>
    <t>Collective Negotiation Agreement</t>
  </si>
  <si>
    <t xml:space="preserve">4Ps </t>
  </si>
  <si>
    <t>Welfare Goods</t>
  </si>
  <si>
    <t>Repairs &amp; Maintenance - Building &amp; Other Structures</t>
  </si>
  <si>
    <t>Children &amp; Women Center</t>
  </si>
  <si>
    <t>Repairs &amp; Maintenance - Machinery &amp; Equipment.</t>
  </si>
  <si>
    <t>Women &amp; Children Dev't Center</t>
  </si>
  <si>
    <t>Person w/ Disability</t>
  </si>
  <si>
    <t>Senior Citizen</t>
  </si>
  <si>
    <t>Women Group</t>
  </si>
  <si>
    <t xml:space="preserve">Pantawid Program, SLP, KALAHI, </t>
  </si>
  <si>
    <t>5-02-03-060</t>
  </si>
  <si>
    <t>Fuel,Oil &amp; Lubricants Expenses</t>
  </si>
  <si>
    <t xml:space="preserve">    Motorcycle</t>
  </si>
  <si>
    <t>Rodenticide</t>
  </si>
  <si>
    <t>Vegetable Seeds and Seedling Trays</t>
  </si>
  <si>
    <t>FAITH Organic Center Supplies</t>
  </si>
  <si>
    <t>Swine multiplier</t>
  </si>
  <si>
    <t>Goat and Cattle Farm</t>
  </si>
  <si>
    <t>90 HP Tractor</t>
  </si>
  <si>
    <t>Combine Harvester</t>
  </si>
  <si>
    <t>Repairs &amp; Maintenance.- Transportation Equipment</t>
  </si>
  <si>
    <t>Multicab</t>
  </si>
  <si>
    <t>Motorcycle</t>
  </si>
  <si>
    <t xml:space="preserve">Taxes, duties &amp; Licences </t>
  </si>
  <si>
    <t>Tractor</t>
  </si>
  <si>
    <t>Strengthening of Bantay Dagat &amp; M/BFARMCs</t>
  </si>
  <si>
    <t xml:space="preserve">Insurance Expenses </t>
  </si>
  <si>
    <t xml:space="preserve">Other Supplies &amp; Material Expenses </t>
  </si>
  <si>
    <t>Aid to Bantay Dagat</t>
  </si>
  <si>
    <t>Resource Persons for M/BFARMC Meetings</t>
  </si>
  <si>
    <t>MPA Biophysical Assessment</t>
  </si>
  <si>
    <t>CRM facilities &amp; Equipment Maintenance</t>
  </si>
  <si>
    <t>Motor Boat</t>
  </si>
  <si>
    <t>Rehabilitation of Boundary Markers in MPAs</t>
  </si>
  <si>
    <t>Watercrafts - Patrol Boat</t>
  </si>
  <si>
    <t>Multivitamins/Dewormer &amp; AI Paraphernalia</t>
  </si>
  <si>
    <t>Anti Rabbies Vaccine</t>
  </si>
  <si>
    <t>AGRI-BUSINESS PROMOTION AND DEVELOPMENT SERVICES</t>
  </si>
  <si>
    <t>AGRI-TRADE FAIR</t>
  </si>
  <si>
    <t xml:space="preserve">Printing and Publication Expenses </t>
  </si>
  <si>
    <t>Collective negotiation Agreement Incentive</t>
  </si>
  <si>
    <t>Municipal Environment and Natural Resources</t>
  </si>
  <si>
    <t>Dalaw Turo</t>
  </si>
  <si>
    <t>Forest Land Use Planning Workshop/Plan</t>
  </si>
  <si>
    <t>Waste Analysis &amp; Characterization study (WACS)</t>
  </si>
  <si>
    <t>Environmental Summit</t>
  </si>
  <si>
    <t>Office operation</t>
  </si>
  <si>
    <t>WACS</t>
  </si>
  <si>
    <t>Mangrove Habitat Assessment</t>
  </si>
  <si>
    <t>IEC Materials</t>
  </si>
  <si>
    <t>Municipal Plant Nursery</t>
  </si>
  <si>
    <t>MRF and Composting Facility</t>
  </si>
  <si>
    <t>Dry Run-Waste on waste segregation of addtl.brgys. for collection</t>
  </si>
  <si>
    <t>Garbage Compactor</t>
  </si>
  <si>
    <t>Backhoe for (SLF)</t>
  </si>
  <si>
    <t>Palit Basura, Palit Gamit Project</t>
  </si>
  <si>
    <t>Sea Turtle Rescue, Recording and Tagging</t>
  </si>
  <si>
    <t>Search for Jingle Making</t>
  </si>
  <si>
    <t>Search for Top 10 Business Establishments w/ Environment-Friendly Practices</t>
  </si>
  <si>
    <t>Municipal Arbor Day</t>
  </si>
  <si>
    <t>Repair &amp; Maintenance - Machinery &amp; Equipment.</t>
  </si>
  <si>
    <t>Information &amp; CommunicationTechnology Equipment</t>
  </si>
  <si>
    <t>Construction &amp; Heavy Equipment - Garbage Compactor</t>
  </si>
  <si>
    <t>Bantay Gubat</t>
  </si>
  <si>
    <t>Bantay Bakawan</t>
  </si>
  <si>
    <t>Productivity Enhancement Incentuve</t>
  </si>
  <si>
    <t>Office of the Municipal Engineer</t>
  </si>
  <si>
    <t>Maintenance &amp; Other Operating Expenses</t>
  </si>
  <si>
    <t xml:space="preserve">Fuel,Oil &amp; Lubricants Expenses </t>
  </si>
  <si>
    <t xml:space="preserve">     Repairs &amp; Maintenance-Transportation Equipment</t>
  </si>
  <si>
    <t>Motor Vehicle</t>
  </si>
  <si>
    <t>Insurance Expenses- Motorcycle</t>
  </si>
  <si>
    <t>Water Dispenser</t>
  </si>
  <si>
    <t>Accredited Organizations and Gov't. Recognized Institutions/Other CSOs, NGOs, Pos</t>
  </si>
  <si>
    <t>Barangays Founding Activities (27 x P20,000.00)</t>
  </si>
  <si>
    <t>Various barangay infrastructure projects (27 x 10,000.00)</t>
  </si>
  <si>
    <t>Lupong Tagapamayapa</t>
  </si>
  <si>
    <t>Boy Scout &amp; Girl Scout</t>
  </si>
  <si>
    <t>Municipal Development Council (MDC) members</t>
  </si>
  <si>
    <t>Mun. Coop. Dev. Council (MCDC)</t>
  </si>
  <si>
    <t>Municipal Solid Waste Management Board (MSWMB)</t>
  </si>
  <si>
    <t>PLEB</t>
  </si>
  <si>
    <t>Other Supplies &amp; Materials</t>
  </si>
  <si>
    <t>Support and Assistance to Various Individuals</t>
  </si>
  <si>
    <t>Barangay Tanod</t>
  </si>
  <si>
    <t>Councilor's League</t>
  </si>
  <si>
    <t>Provision of Assistance to Barangay Tanod</t>
  </si>
  <si>
    <t>Regional &amp; National Athletes</t>
  </si>
  <si>
    <t>Regional &amp; National School Competition Contestants</t>
  </si>
  <si>
    <t>Unit II Meet</t>
  </si>
  <si>
    <t>Maintenance of the Office of the Senior Citizens Affairs</t>
  </si>
  <si>
    <t>Uniform of SC Officers</t>
  </si>
  <si>
    <t>Hosting of Provincial Federation Meeting</t>
  </si>
  <si>
    <t>Internet Expenses</t>
  </si>
  <si>
    <t>Extraordinary &amp; Other Miscellaneous Expenses</t>
  </si>
  <si>
    <t>Repairs &amp; Maintenance - Machinery &amp; Equipment</t>
  </si>
  <si>
    <t>Medical Mission (every 2 mos.)</t>
  </si>
  <si>
    <t>Provision for Uniform of Barangay Tanod</t>
  </si>
  <si>
    <t>Provision for uniform of TODA members</t>
  </si>
  <si>
    <t>YOUTH AND SPORTS DEVELOPMENT SERVICES</t>
  </si>
  <si>
    <t>Formulation of Youth Development Plan</t>
  </si>
  <si>
    <t>Sports supplies &amp; materials</t>
  </si>
  <si>
    <t>Honorarium of Sports Officers</t>
  </si>
  <si>
    <t>Uniforms</t>
  </si>
  <si>
    <t>Honorarium of Referees</t>
  </si>
  <si>
    <t>Participation to Inter-Town Basketball League</t>
  </si>
  <si>
    <t>Honorarium of Hired Import Players</t>
  </si>
  <si>
    <t>Linggo Ng Kabataan</t>
  </si>
  <si>
    <t>Sports Supplies &amp; Materials</t>
  </si>
  <si>
    <t>Honorarium</t>
  </si>
  <si>
    <t>PROTECTIVE SERVICES</t>
  </si>
  <si>
    <t>Philippine National Red Cross</t>
  </si>
  <si>
    <t>Aid to Regional Trial Court (RTC)</t>
  </si>
  <si>
    <t>Aid to Family court</t>
  </si>
  <si>
    <t>Anti-Drug Abuse Activity  (Program for Drug Surrenderees)</t>
  </si>
  <si>
    <t>Implementation of various Peace &amp; Order &amp; Public Safety (POPS) Plan Programs, Projects and Activities</t>
  </si>
  <si>
    <t>Aid to Municipal Peace &amp; Order Council (MPOC) &amp; Municipal Anti-Drug Abuse Council (MADAC)</t>
  </si>
  <si>
    <t>Peace and Order and Public Safety Activities</t>
  </si>
  <si>
    <t>Intelligence Expenses</t>
  </si>
  <si>
    <t>Rent Expenses</t>
  </si>
  <si>
    <t xml:space="preserve">Drug Prevention Related Activities </t>
  </si>
  <si>
    <t>Printing &amp; Publication Expenses -Tarpaulin</t>
  </si>
  <si>
    <t>Strengthening Barangay Tanod/Katarungang Pambarangay/Lupong Tagapamayapa</t>
  </si>
  <si>
    <t>Anti-Criminality Related Activities</t>
  </si>
  <si>
    <t>Repair &amp; Maintenance of Transportation Equipment</t>
  </si>
  <si>
    <t>Scholarship/Grants Expenses</t>
  </si>
  <si>
    <t>5-02-10-020</t>
  </si>
  <si>
    <t>5-02-99-050</t>
  </si>
  <si>
    <t>5-02-02-020</t>
  </si>
  <si>
    <t>Utilization 20% Development Fund - Continuing</t>
  </si>
  <si>
    <t>july</t>
  </si>
  <si>
    <t>August</t>
  </si>
  <si>
    <t>September</t>
  </si>
  <si>
    <t>October</t>
  </si>
  <si>
    <t>November</t>
  </si>
  <si>
    <t>December</t>
  </si>
  <si>
    <t>Construction of Footbridge  in Sitio dahlia, Agsalin</t>
  </si>
  <si>
    <t>SOCIAL SERVICES SECTOR</t>
  </si>
  <si>
    <t>Health Service</t>
  </si>
  <si>
    <t>(MHO AIP Ref.Code 3000-10-1-141)</t>
  </si>
  <si>
    <t>ECONOMIC SERVICES SECTOR</t>
  </si>
  <si>
    <t>Engineering Services</t>
  </si>
  <si>
    <t>Constraction &amp; Maintenance Service</t>
  </si>
  <si>
    <t xml:space="preserve">          (MEO Rep.Code 8000-3-9-135</t>
  </si>
  <si>
    <t xml:space="preserve">         Completion of Multi-Purpose Building in Barangay Sta.Maria (MEOAIP Rep,Code 8000-3-9-135</t>
  </si>
  <si>
    <t xml:space="preserve">       Construction of Multi-Purpose Building for Senior Citizens in  Barangay Sta, Theresa(MEOAIP Rep,Code 8000-3-151</t>
  </si>
  <si>
    <t xml:space="preserve">       Sapat -Dapat Project- Settlement of LGU Project Loan (MO AIP Rep.Code 1000-1-1-3</t>
  </si>
  <si>
    <t xml:space="preserve">        Construction/Completion/Improvement of Multi-Purpose Building -Sta. Maria</t>
  </si>
  <si>
    <t>Road Networks - Alma Villa</t>
  </si>
  <si>
    <t>Road Networks - Malubay</t>
  </si>
  <si>
    <t>Other Structure -Banus (Completion Multi-purpose )</t>
  </si>
  <si>
    <t xml:space="preserve">    Municipal Counterpart for the Purchase  Barangay Ambulance</t>
  </si>
  <si>
    <t xml:space="preserve">           Bulaklakan Farm-to-Market Road Concreting (MEOAIP Rep Code 8000-3-9-29</t>
  </si>
  <si>
    <t xml:space="preserve">           Multi-Purpose Building Cum-Evacuation Center</t>
  </si>
  <si>
    <t xml:space="preserve">           Improvement of Multi-Purpose Building in Barangay Agos</t>
  </si>
  <si>
    <t>Ancillary Services</t>
  </si>
  <si>
    <t>Municipal Counterpart for the Procurement of additional Barangay Ambulances (MHO AIP Ref. Code 3000-10-1-7)</t>
  </si>
  <si>
    <t>Barangay Grant Allocation (BGA) for LGU-Led KaLaHi-CIDSS NCDDP Projects-Year 2: Construction/Improvement of Barangay Health Stations (MHO AIP Ref. Code 3000-10-1-3)</t>
  </si>
  <si>
    <t>Solid Waste Management Services</t>
  </si>
  <si>
    <t>Procurement and Maintenance of SLF Equipment &amp; Machineries based on the following categories: Type A, Type B &amp; Type C. (MENRO-SWM 6000-1-6-8-1 to 3)</t>
  </si>
  <si>
    <t>Construction &amp; Maintenance Services</t>
  </si>
  <si>
    <t>Social Support Infra</t>
  </si>
  <si>
    <t>Multi-Purpose Building cum-Evacuation Center Projects in other barangays</t>
  </si>
  <si>
    <t>g. Maligaya (MEO 8000-3-9-145)</t>
  </si>
  <si>
    <t>Level 1 &amp; 2 Water System Projects in Other Barangays (MEO AIP Ref. Code 8000-3-9-129)</t>
  </si>
  <si>
    <t>Sitio Electrification</t>
  </si>
  <si>
    <t>Sitio Electrification Projects in Other Barangays (MEO AIP Ref. Code 8000-3-9-163)</t>
  </si>
  <si>
    <t>Installation of Solar Street Lighting System</t>
  </si>
  <si>
    <t>Sitio Camia to Sampaguita, Barangay Agos (MEO AIP Ref. Code 8000-3-9-173)</t>
  </si>
  <si>
    <t>Construction/Improvement of Barangay Markets through Barangay Grant allocation(BGA) for  LGU-led KC-MCDDP Year 3 (MEO 8000-3-9-1)</t>
  </si>
  <si>
    <t>Sapat-Dapat Project - Settlement of LGU Project Loan (MO AIP Ref. Code 1000-1-1-3)</t>
  </si>
  <si>
    <t>1-07-05-080</t>
  </si>
  <si>
    <t>1-07-03-990</t>
  </si>
  <si>
    <t>1-07-03-040</t>
  </si>
  <si>
    <t>1-07-04-040</t>
  </si>
  <si>
    <t>MARKET</t>
  </si>
  <si>
    <t>MOOE</t>
  </si>
  <si>
    <t xml:space="preserve">       Other Land Improvements </t>
  </si>
  <si>
    <t xml:space="preserve">              Landscaping of the Municipal Building &amp; facilities </t>
  </si>
  <si>
    <t xml:space="preserve">        Water Dispenser (Conference Hall</t>
  </si>
  <si>
    <t xml:space="preserve">              Airconditioning Unit (OSCA)</t>
  </si>
  <si>
    <t xml:space="preserve">              Photocopying Machine </t>
  </si>
  <si>
    <t xml:space="preserve">      Information &amp; Communication Technology Equipment </t>
  </si>
  <si>
    <t xml:space="preserve">              Laptop </t>
  </si>
  <si>
    <t xml:space="preserve">              Desktop(Cemetery)</t>
  </si>
  <si>
    <t xml:space="preserve">              LCD Projector (Conference rooms-2)</t>
  </si>
  <si>
    <t xml:space="preserve">   Other Machinery &amp; Equipment </t>
  </si>
  <si>
    <t xml:space="preserve">              Built-in sound system (Conference rooms-2)</t>
  </si>
  <si>
    <t xml:space="preserve">              Portable Sound System</t>
  </si>
  <si>
    <t xml:space="preserve">              Coffee Machine (municipal Lobby)</t>
  </si>
  <si>
    <t xml:space="preserve">      Motor Vehicle</t>
  </si>
  <si>
    <t xml:space="preserve">               Municipal Vehicle </t>
  </si>
  <si>
    <t xml:space="preserve">      Furnitures and Fixtures</t>
  </si>
  <si>
    <t xml:space="preserve">                Filling Cabinet</t>
  </si>
  <si>
    <t xml:space="preserve">                Tables &amp; Swivel Chairs / Office Chair</t>
  </si>
  <si>
    <t xml:space="preserve">      Other Property, Plant &amp; Equipment </t>
  </si>
  <si>
    <t xml:space="preserve">                Fabrication of Municipal Directional Signages </t>
  </si>
  <si>
    <t>Furniture and Fixtures 2nd Floor Conference Room &amp; New Offices</t>
  </si>
  <si>
    <t>LGU-Led KC-NCDDP Implementation of Sub-projects</t>
  </si>
  <si>
    <t>1-07-02-990</t>
  </si>
  <si>
    <t>Information and Communication Technology Equipment</t>
  </si>
  <si>
    <t>Filing Cabinet</t>
  </si>
  <si>
    <t>Other Structure- CentralizedwareHouse</t>
  </si>
  <si>
    <t>Furniture and Fixtures</t>
  </si>
  <si>
    <t>Fabrication of steel racks and shelves</t>
  </si>
  <si>
    <t>Cabinets</t>
  </si>
  <si>
    <t>Office Tables and Swivel Chairs</t>
  </si>
  <si>
    <t xml:space="preserve">          - Utility Tools and Equipment</t>
  </si>
  <si>
    <t>Bids and Awards Committee</t>
  </si>
  <si>
    <t>1 unit of printer</t>
  </si>
  <si>
    <t>FAMILY WELFARE SERVICES</t>
  </si>
  <si>
    <t xml:space="preserve">      Donations</t>
  </si>
  <si>
    <t>HOUSING AND SETTLEMENT SERVICES</t>
  </si>
  <si>
    <t xml:space="preserve">Community Base Rehabilitation Program for Person w/ Disability </t>
  </si>
  <si>
    <t xml:space="preserve">- medical assistance &amp; devices </t>
  </si>
  <si>
    <t>- provision for PWD activities</t>
  </si>
  <si>
    <t>- provision for health card</t>
  </si>
  <si>
    <t>Basic Welfare Assistance</t>
  </si>
  <si>
    <t>Medical Assistance (Hospitalization and Medicines)</t>
  </si>
  <si>
    <t>Burial Assistance</t>
  </si>
  <si>
    <t>Assistance to Victims of Abuse</t>
  </si>
  <si>
    <t>Assistance to Victim of Disaster</t>
  </si>
  <si>
    <t>Assistance to Displaced Families</t>
  </si>
  <si>
    <t>Assistance to Indigenous People</t>
  </si>
  <si>
    <t>Financial Assistance to Mun. Officials &amp; Employees</t>
  </si>
  <si>
    <t>Assistance to Solo Parents</t>
  </si>
  <si>
    <t>Aid to Recovery and Counseling Program for Drug Reformist</t>
  </si>
  <si>
    <t>Covid-19 Related Programs</t>
  </si>
  <si>
    <t>Assistance to LSI/Families  Balik Probinsya, Balik Pag-asa Beneficiaries</t>
  </si>
  <si>
    <t xml:space="preserve">Livelihood Assistance to LSI/Families affected by covid 19 </t>
  </si>
  <si>
    <t>Municipal Support to Pantawid Pamilya Program</t>
  </si>
  <si>
    <t>Assistance to Pantawid Pamilya Programs</t>
  </si>
  <si>
    <t xml:space="preserve">     - provisions for 4P's Parent Leaders Assistance</t>
  </si>
  <si>
    <t>Youth Development Programs</t>
  </si>
  <si>
    <t>Aid to In-School Youth</t>
  </si>
  <si>
    <t>Aid to IP Students</t>
  </si>
  <si>
    <t xml:space="preserve">Assistance for Out of School Youth </t>
  </si>
  <si>
    <t>Welfare Program for the Elderly</t>
  </si>
  <si>
    <t xml:space="preserve"> - provision for Senior Citizen Health Card</t>
  </si>
  <si>
    <t xml:space="preserve"> - Incentive for Senior Citizen Barangay President</t>
  </si>
  <si>
    <t>Gender and Development Services</t>
  </si>
  <si>
    <t>Women Welfare Program</t>
  </si>
  <si>
    <t xml:space="preserve"> - Assistance for Women</t>
  </si>
  <si>
    <t>- provisions for  Local Council for Women Assistance</t>
  </si>
  <si>
    <t>Day Care Services</t>
  </si>
  <si>
    <t>Children's Month Celebration</t>
  </si>
  <si>
    <t xml:space="preserve">Travelling Expenses - Provincial </t>
  </si>
  <si>
    <t>Assistance  to Core Housing Sites</t>
  </si>
  <si>
    <t xml:space="preserve">          Aircon (2 units)</t>
  </si>
  <si>
    <t xml:space="preserve">          Stand Fan (3units)</t>
  </si>
  <si>
    <t>Building (Office Renovation)</t>
  </si>
  <si>
    <t>Biometrics with LAN Cable</t>
  </si>
  <si>
    <t>Establishment of Human Resource Information System</t>
  </si>
  <si>
    <t>Total Capital outlay</t>
  </si>
  <si>
    <t>3 Layer Steel Lateral Cabinet</t>
  </si>
  <si>
    <t xml:space="preserve">         - Laptop computer</t>
  </si>
  <si>
    <t xml:space="preserve">                 2 Rostrum for SB Hall &amp; Conf. Hall</t>
  </si>
  <si>
    <t>Bulliten Board</t>
  </si>
  <si>
    <t>Venetian Blind</t>
  </si>
  <si>
    <t>Built -in sound system</t>
  </si>
  <si>
    <t xml:space="preserve">CONTINUING CAPITAL OUTLAY </t>
  </si>
  <si>
    <t>Information &amp; Comm.Tech. Equip.-Desktop Computer w/ printer</t>
  </si>
  <si>
    <t xml:space="preserve">Water Dispenser </t>
  </si>
  <si>
    <t>2 units of Industrial fan</t>
  </si>
  <si>
    <t>Cabinets and Multi purpose Shelves</t>
  </si>
  <si>
    <t xml:space="preserve">TOTAL CONTINUING CAPITAL OUTLAY </t>
  </si>
  <si>
    <t>Receiving Area Furniture</t>
  </si>
  <si>
    <t>Office Table</t>
  </si>
  <si>
    <t xml:space="preserve">Fire Extinguishers </t>
  </si>
  <si>
    <t>Fabrication of Floating cottage</t>
  </si>
  <si>
    <t>1-07-06-040</t>
  </si>
  <si>
    <t xml:space="preserve">      Other PPE- Promotional Signages (Billboard)</t>
  </si>
  <si>
    <t xml:space="preserve">Small Engines </t>
  </si>
  <si>
    <t xml:space="preserve">Disaster Response &amp; Rescue Equipment </t>
  </si>
  <si>
    <t xml:space="preserve">Firefighting Equipment &amp; Accessories </t>
  </si>
  <si>
    <t xml:space="preserve">Motor Vehicles </t>
  </si>
  <si>
    <t>Car Accessories- Driving NCII</t>
  </si>
  <si>
    <t xml:space="preserve">    Information &amp; Communication Technology Equipment</t>
  </si>
  <si>
    <t xml:space="preserve">    Office Equipment</t>
  </si>
  <si>
    <t xml:space="preserve">    Furnitures &amp; Fixtures</t>
  </si>
  <si>
    <t>Markets( Improvement Market Building)</t>
  </si>
  <si>
    <t>Other Structures-( Const. of Perimeter Stalls)</t>
  </si>
  <si>
    <t xml:space="preserve">Information &amp; Communication Technology Equipment </t>
  </si>
  <si>
    <t>Other Machinery &amp; Equipment ( Coffin Lifter)</t>
  </si>
  <si>
    <t>Apartment type Niches</t>
  </si>
  <si>
    <t xml:space="preserve">Information and Comm. Technology Equip. - </t>
  </si>
  <si>
    <t>Purchase of Printers</t>
  </si>
  <si>
    <t xml:space="preserve">       Office Equipment</t>
  </si>
  <si>
    <t xml:space="preserve">                DLSR Camera</t>
  </si>
  <si>
    <t xml:space="preserve">                Laptop &amp; UPS</t>
  </si>
  <si>
    <t>Other Property, Plant &amp; Equipment</t>
  </si>
  <si>
    <t xml:space="preserve">             Office Kitchen Utensils &amp; Appliances</t>
  </si>
  <si>
    <t>Furniture &amp; Fixtures - Fabrication of Bookshelves (MCRO &amp; BAC)</t>
  </si>
  <si>
    <t>Information &amp; Comm.Technology Equipment</t>
  </si>
  <si>
    <t xml:space="preserve">            UPS</t>
  </si>
  <si>
    <t>Photocopying Machine (1 unit)</t>
  </si>
  <si>
    <t>office partition, table&amp; accessories</t>
  </si>
  <si>
    <t xml:space="preserve">          - Office Tables</t>
  </si>
  <si>
    <t>Construction/installation of Pantry area</t>
  </si>
  <si>
    <t>Multi purpose Table</t>
  </si>
  <si>
    <t>LAND</t>
  </si>
  <si>
    <t>Titiling of 3 Lots- Agos Landfill</t>
  </si>
  <si>
    <t>Medical equipment accessories</t>
  </si>
  <si>
    <t>Medical equipment</t>
  </si>
  <si>
    <t xml:space="preserve">             Motorcycle - (Honda XRM 125)</t>
  </si>
  <si>
    <t xml:space="preserve">      Stand Fan</t>
  </si>
  <si>
    <t xml:space="preserve">      Wall Fan</t>
  </si>
  <si>
    <t xml:space="preserve">  Informatiuon &amp; Comm. Technology Equip.</t>
  </si>
  <si>
    <t xml:space="preserve">        Printer-photocopier</t>
  </si>
  <si>
    <r>
      <t xml:space="preserve"> </t>
    </r>
    <r>
      <rPr>
        <sz val="10"/>
        <rFont val="Arial"/>
        <family val="2"/>
      </rPr>
      <t>Funiture &amp;  Fixtures</t>
    </r>
  </si>
  <si>
    <t xml:space="preserve">     Office Table</t>
  </si>
  <si>
    <t>Information &amp; Communications Technology Equipment</t>
  </si>
  <si>
    <t xml:space="preserve">             Laptop</t>
  </si>
  <si>
    <t xml:space="preserve">    Office Table &amp; Chairs</t>
  </si>
  <si>
    <t>Water supply system-Malubay</t>
  </si>
  <si>
    <t>Other Structures- Lucio Laurel</t>
  </si>
  <si>
    <t>Other Structures- A. Bonifacio</t>
  </si>
  <si>
    <t>Other Structures-Banus</t>
  </si>
  <si>
    <t>Building- Malamig</t>
  </si>
  <si>
    <t>Building- Malubay</t>
  </si>
  <si>
    <t>Building- M. Adriatico</t>
  </si>
  <si>
    <t>Building- Maligaya</t>
  </si>
  <si>
    <t>Road Networks- Malamig</t>
  </si>
  <si>
    <t>Road Networks- Alma Villa</t>
  </si>
  <si>
    <t>Buildings - Maligaya</t>
  </si>
  <si>
    <t>Construction of Box Culvert in Tambong</t>
  </si>
  <si>
    <t xml:space="preserve">Sitio Electrification </t>
  </si>
  <si>
    <t>Total MOOE</t>
  </si>
  <si>
    <t>Computer Table -OSCA(2017)</t>
  </si>
  <si>
    <t>SLAUGHTER HOUSE</t>
  </si>
  <si>
    <t>BAMBOO PLANTATION/NURSERY</t>
  </si>
  <si>
    <t>Municipal Social Welfare and Development Office</t>
  </si>
  <si>
    <t>Municipal Mayor</t>
  </si>
  <si>
    <t>Cmpressor (COLTRRI 235 MCH 16L GAS)</t>
  </si>
  <si>
    <t>Spine board</t>
  </si>
  <si>
    <t>Training manequin ( Infant )</t>
  </si>
  <si>
    <t>Training AED</t>
  </si>
  <si>
    <t>Community Alert &amp; Response to Emerg.System</t>
  </si>
  <si>
    <t>Reflectorized Traffic Vest (2017)</t>
  </si>
  <si>
    <t>Lapel, wireless and conference microphone</t>
  </si>
  <si>
    <t>Bucket Truck</t>
  </si>
  <si>
    <t>Procurement of various Disaster Related Tools and Equipment</t>
  </si>
  <si>
    <t xml:space="preserve">Improvement of garage </t>
  </si>
  <si>
    <t>Construction of pavement</t>
  </si>
  <si>
    <t>Procurement  and Installation of protective Barriers ( 7 units)</t>
  </si>
  <si>
    <t>Construction or Fabrication and Installation of Hand washing Facilities(5units)</t>
  </si>
  <si>
    <t>Procurement of Varous disaster related Equipment</t>
  </si>
  <si>
    <t xml:space="preserve">Municipal Planning and Development Office </t>
  </si>
  <si>
    <t>Other Personnel Benefits</t>
  </si>
  <si>
    <t>CCTV</t>
  </si>
  <si>
    <t xml:space="preserve">Other Infra Asset- Sitio electrification </t>
  </si>
  <si>
    <t>AO#2(2/8/21)</t>
  </si>
  <si>
    <t>AO#2(2-8/21)</t>
  </si>
  <si>
    <t>vertical helopyte</t>
  </si>
  <si>
    <t xml:space="preserve">Implementing </t>
  </si>
  <si>
    <t>Office</t>
  </si>
  <si>
    <t>Bayanihan Grant to Cities and Municipalities</t>
  </si>
  <si>
    <t>(BGCM Grant )</t>
  </si>
  <si>
    <t>Office of the Mun. Mayor</t>
  </si>
  <si>
    <t>Fuel, Oil and Lubricants Expense</t>
  </si>
  <si>
    <t>Sub Total</t>
  </si>
  <si>
    <t>Office of the Mun. Health</t>
  </si>
  <si>
    <t>Medical Supplies - Rapid Test Kit</t>
  </si>
  <si>
    <t>5-02-03-081</t>
  </si>
  <si>
    <t>Repair &amp; maintenance  Electrical System( Installation of Gen. Set)</t>
  </si>
  <si>
    <t>Food Supplies and Transportation Expenses of BHERTS</t>
  </si>
  <si>
    <t>Office of the MSWD</t>
  </si>
  <si>
    <t>Welfare Goods Expenses</t>
  </si>
  <si>
    <t>Amount</t>
  </si>
  <si>
    <t>Generator Set</t>
  </si>
  <si>
    <t>Machinery ( Gen. Set)</t>
  </si>
  <si>
    <t>Augmentation of fund</t>
  </si>
  <si>
    <t>Augmentation of Fund</t>
  </si>
  <si>
    <t>Other Structures- Development of Walang Langit Falls</t>
  </si>
  <si>
    <t>Procurement of Office supplies, first aid kit,furniture and IT equipment</t>
  </si>
  <si>
    <t>Augmentation  of fund</t>
  </si>
  <si>
    <t>AO#1(1/25/21)</t>
  </si>
  <si>
    <t>Information &amp; Communication Technology Eqpt.-Laptop</t>
  </si>
  <si>
    <t xml:space="preserve"> Installation of grills (RHU)</t>
  </si>
  <si>
    <t>Flood Control System:</t>
  </si>
  <si>
    <t>Cnstruction/Improvement of Box CulvertiSitio Rosal, Agos</t>
  </si>
  <si>
    <t>Construction  and Heavy Equipment</t>
  </si>
  <si>
    <t xml:space="preserve">                                                                                  </t>
  </si>
  <si>
    <t>BAYANIHAN GRANT TO CITIES AND MUNICIPALITIES (Continuing Fund)</t>
  </si>
  <si>
    <t>Business Permit and Licensing Office</t>
  </si>
  <si>
    <t>Salaries and Wages-Regular</t>
  </si>
  <si>
    <t>SB  No.1</t>
  </si>
  <si>
    <t>(4-19-21)</t>
  </si>
  <si>
    <t>7000-4-1-5</t>
  </si>
  <si>
    <t>1000-1-6-11</t>
  </si>
  <si>
    <r>
      <t xml:space="preserve">      Land- </t>
    </r>
    <r>
      <rPr>
        <sz val="10"/>
        <rFont val="Arial Narrow"/>
        <family val="2"/>
      </rPr>
      <t>Purchase of land for the Landless in Brgy. Sta. Theresa</t>
    </r>
  </si>
  <si>
    <r>
      <t xml:space="preserve">      Other Structures -</t>
    </r>
    <r>
      <rPr>
        <sz val="10"/>
        <rFont val="Arial Narrow"/>
        <family val="2"/>
      </rPr>
      <t>Repair of Plaza Stage</t>
    </r>
  </si>
  <si>
    <r>
      <t xml:space="preserve">      Other Land Improvements- </t>
    </r>
    <r>
      <rPr>
        <sz val="10"/>
        <rFont val="Arial Narrow"/>
        <family val="2"/>
      </rPr>
      <t>Landscaping of Municipal Plaza</t>
    </r>
  </si>
  <si>
    <t>Installation of 3- Phase Electrical line and Transformer at the eBamboo Service Facility</t>
  </si>
  <si>
    <t>SB No.1</t>
  </si>
  <si>
    <t>Tourism Master Plan work shop</t>
  </si>
  <si>
    <t>Repair of Market Drainage</t>
  </si>
  <si>
    <t>Repair of Market Comfort Room</t>
  </si>
  <si>
    <t>Information &amp; Communication Technology Equipment- Installation of CCTV</t>
  </si>
  <si>
    <t>SB No. 1</t>
  </si>
  <si>
    <t>4-19/-21</t>
  </si>
  <si>
    <t>SPECIAL PURPOSE APPROPRIATION</t>
  </si>
  <si>
    <t>Assistance for Kalamundingan Irrigators: Const. of Garage</t>
  </si>
  <si>
    <t>Repair &amp; Maintenance - Building &amp; Other Structures - Painting of the Fire Building</t>
  </si>
  <si>
    <t>Repairs &amp; Maintenance - Transportation Equipment-Repair of Patrol Car</t>
  </si>
  <si>
    <t>Sb No.1</t>
  </si>
  <si>
    <t>Barangay Ambulances and Rescue Vehicles</t>
  </si>
  <si>
    <t>SB Nno. 1</t>
  </si>
  <si>
    <r>
      <t>Building -</t>
    </r>
    <r>
      <rPr>
        <sz val="10"/>
        <rFont val="Arial Narrow"/>
        <family val="2"/>
      </rPr>
      <t xml:space="preserve"> Completion of Legislative Building</t>
    </r>
  </si>
  <si>
    <t xml:space="preserve"> Purhase &amp; Installation of additional airconditioning units</t>
  </si>
  <si>
    <t>Table &amp; chairs for Conference Hall</t>
  </si>
  <si>
    <r>
      <t xml:space="preserve">Other Machinery &amp; Equipment - </t>
    </r>
    <r>
      <rPr>
        <sz val="10"/>
        <rFont val="Arial Narrow"/>
        <family val="2"/>
      </rPr>
      <t>Portable Sound System</t>
    </r>
  </si>
  <si>
    <r>
      <t xml:space="preserve">Other Machinery &amp; Equipment - </t>
    </r>
    <r>
      <rPr>
        <sz val="10"/>
        <rFont val="Arial Narrow"/>
        <family val="2"/>
      </rPr>
      <t>Water</t>
    </r>
    <r>
      <rPr>
        <b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 System</t>
    </r>
  </si>
  <si>
    <t xml:space="preserve">        Salaries for community tutor for IP</t>
  </si>
  <si>
    <t>Titling of the following Municipal properties: Housing sites of G. Antonino,Agos,Malamig,Maragooc and Guimbonan, 2 hectares municipal property in Malubay and others</t>
  </si>
  <si>
    <t xml:space="preserve">     Repairs &amp; Maintenance-Other Structures- Demolition &amp; Relocation expenses</t>
  </si>
  <si>
    <t>Road Networks-</t>
  </si>
  <si>
    <t>KALAHI counterpart for the concreting of .30km Barangay Access road in Sitio Sampaguita,Alma Villa</t>
  </si>
  <si>
    <t>KALAHI counterpart for the concreting of .30km Barangay Access road in Sitio Pugad B., Maligaya</t>
  </si>
  <si>
    <t>KALAHI counterpart for the concreting of .30km Barangay Access road in Sitio Pulong Sagingan, Tambong.</t>
  </si>
  <si>
    <t>KALAHI counterpart for the concreting of .30km Barangay Access road with Grouted in Sitio Sta. Ana, Balete Highway.</t>
  </si>
  <si>
    <t>Concreting of Road, Sitio centro, San Antonio.</t>
  </si>
  <si>
    <t>FMR  Road Opening - Sitio Rosal, Agos</t>
  </si>
  <si>
    <t>FMR  Road Opening - Sitio Ivory &amp; Senia, Bulaklakan</t>
  </si>
  <si>
    <t>Road Opening in Banluan, Mirayan</t>
  </si>
  <si>
    <t>Road Opening in Sitio Palaisdaan, Tambong</t>
  </si>
  <si>
    <t>Const. of Footbridge- Sitio gumamela, Bulaklakan</t>
  </si>
  <si>
    <t>Concreting of Jamilla Extension</t>
  </si>
  <si>
    <t>KALAHI counterpart for the const. of 100LM of River  of River Control (Grouted Riprap) in Riverside Lupang Pangarap,Lucio Laurel</t>
  </si>
  <si>
    <t>Construction of Box Culvert- Core Housing, Manguyang</t>
  </si>
  <si>
    <t>Construction of Covered Canal/ Shouldering in Sitio Parkview, Brgy. Maligaya(side street of Sangguniang Bayan Office)</t>
  </si>
  <si>
    <t>Construction of Seawall- Sitio Everlasting, Agsalin</t>
  </si>
  <si>
    <t>Installation of Level 1 Water system ( Free Flowing ) in Purok City Hills, Brgy. Malubay</t>
  </si>
  <si>
    <t>Road Opening in Sitio Ilang-ilang, Sta. Theresa to Macauba Property, Lucio Laurel</t>
  </si>
  <si>
    <t>TOTAL  Current CAPITAL OUTLAY</t>
  </si>
  <si>
    <t xml:space="preserve">Water Supply System      </t>
  </si>
  <si>
    <t>Installation of Level 1 Water system in Sitio Biyaya, Guimbonan</t>
  </si>
  <si>
    <t>Other Infrastracture Asset</t>
  </si>
  <si>
    <t>Sitio Electrication - Sitio Ilang-ilang and Sampaguita, Agsalin</t>
  </si>
  <si>
    <t>Sitio Electrication - Sitio Amogis, Narra</t>
  </si>
  <si>
    <t>Sitio Electrication - Sitio Sampalukan, Maragooc</t>
  </si>
  <si>
    <t>Sitio Electrication - Purok VII, Malamig</t>
  </si>
  <si>
    <t>Sitio Electrication - Azucena, Agos</t>
  </si>
  <si>
    <t>KALAHI Counterpart for the Construction of 1 unit 3 Classroom Elementary school Building in M. Adriatico</t>
  </si>
  <si>
    <t>SCHOOL BUILDING</t>
  </si>
  <si>
    <t>Elementary School Building Repair in Sta. Theresa</t>
  </si>
  <si>
    <t>OTHER STRUCTURES</t>
  </si>
  <si>
    <t>Covered Court Completion- Buong Lupa</t>
  </si>
  <si>
    <t>Covered Court Completion- Malamig</t>
  </si>
  <si>
    <t>Cost./Improvement of Multi-Purpose Building- Mirayan</t>
  </si>
  <si>
    <t>Cost./Improvement of Multi-Purpose Building- Kawit</t>
  </si>
  <si>
    <t>Improvedment of Multi-Purpose Hall-Malubay</t>
  </si>
  <si>
    <t>Improvedment of Multi-Purpose Hall- Tambong</t>
  </si>
  <si>
    <t>Improvedment of Multi-Purpose Hall- Maligaya</t>
  </si>
  <si>
    <t>Improvement of Senior Citizen hall- M. Adriatico</t>
  </si>
  <si>
    <t>Improvement of Senior Citizen Hall- Alma Villa</t>
  </si>
  <si>
    <t>Improvement of Senior Citizen Hall- Malamig</t>
  </si>
  <si>
    <t>Improvement of Senior Citizen Hall- Sta. Theresa</t>
  </si>
  <si>
    <t>Construction of covered pathwalk at Gloria Central School in Maligaya</t>
  </si>
  <si>
    <t>Construction of Pathwalk in Sitio Azucena, Sta. Theresa</t>
  </si>
  <si>
    <t>Covid 19 Activities</t>
  </si>
  <si>
    <t xml:space="preserve">Information &amp; Communication Technology Eqpt.- 1 set of Desktop </t>
  </si>
  <si>
    <t>Other Machinery &amp; Equipment - Procurement &amp; Installation of Transformer</t>
  </si>
  <si>
    <t>Feeds for Cattle( Cows )</t>
  </si>
  <si>
    <t>Other Inrrastructure Assets</t>
  </si>
  <si>
    <t xml:space="preserve"> Construction of Solar Dryer - Balete &amp; Mirayan</t>
  </si>
  <si>
    <t>Rehabilitation of Irrigation - Sitio Palayan, Banus</t>
  </si>
  <si>
    <r>
      <rPr>
        <b/>
        <sz val="10"/>
        <rFont val="Arial Narrow"/>
        <family val="2"/>
      </rPr>
      <t>Building-</t>
    </r>
    <r>
      <rPr>
        <sz val="10"/>
        <rFont val="Arial Narrow"/>
        <family val="2"/>
      </rPr>
      <t xml:space="preserve"> Completion of New Office Building</t>
    </r>
  </si>
  <si>
    <t>IEC Billboards &amp; Materials</t>
  </si>
  <si>
    <r>
      <rPr>
        <b/>
        <sz val="10"/>
        <rFont val="Arial Narrow"/>
        <family val="2"/>
      </rPr>
      <t>Other Structures</t>
    </r>
    <r>
      <rPr>
        <sz val="10"/>
        <rFont val="Arial Narrow"/>
        <family val="2"/>
      </rPr>
      <t>- Const. of Air Drying Pavement</t>
    </r>
  </si>
  <si>
    <r>
      <rPr>
        <b/>
        <sz val="10"/>
        <rFont val="Arial Narrow"/>
        <family val="2"/>
      </rPr>
      <t>Machineries</t>
    </r>
    <r>
      <rPr>
        <sz val="10"/>
        <rFont val="Arial Narrow"/>
        <family val="2"/>
      </rPr>
      <t xml:space="preserve"> - Procurement of SLF Shredder &amp; other Machineries</t>
    </r>
  </si>
  <si>
    <r>
      <t xml:space="preserve">Other Machinery &amp; Equipment- </t>
    </r>
    <r>
      <rPr>
        <sz val="10"/>
        <rFont val="Arial Narrow"/>
        <family val="2"/>
      </rPr>
      <t>Installation of Transformer - SLF</t>
    </r>
  </si>
  <si>
    <t>req. ni Ms. Rona</t>
  </si>
  <si>
    <t>1-07-03-010</t>
  </si>
  <si>
    <t>1-007-03-040</t>
  </si>
  <si>
    <t>1-07-03-020</t>
  </si>
  <si>
    <t>1-07-04-020</t>
  </si>
  <si>
    <t>Medical , Dental &amp; Laboratory Supplies-Antigen Test Kit</t>
  </si>
  <si>
    <t>Augmentation  of Fund AO No.4</t>
  </si>
  <si>
    <t xml:space="preserve"> AO#6, 4/26/2021</t>
  </si>
  <si>
    <t xml:space="preserve"> Construction of footbridge in Sitio Dahlia,Brgy.agsalin</t>
  </si>
  <si>
    <t xml:space="preserve">Other Tools &amp; Materials (SLF shedders &amp; Rotary  Composter,etc.) </t>
  </si>
  <si>
    <t xml:space="preserve"> </t>
  </si>
  <si>
    <t>Continuing  Capital Outlay</t>
  </si>
  <si>
    <t>Total Continuing  Capital Outlay</t>
  </si>
  <si>
    <t xml:space="preserve"> Total Capital Outlay</t>
  </si>
  <si>
    <t>Municipal Agriculture Office</t>
  </si>
  <si>
    <t>AO#8(5/24/21)</t>
  </si>
  <si>
    <t>Sal.Savings</t>
  </si>
  <si>
    <t>Jan.1 - Feb.28</t>
  </si>
  <si>
    <t>Jan.-Feb.28</t>
  </si>
  <si>
    <t>Sal. Savings</t>
  </si>
  <si>
    <t>Jan.-Feb. 28</t>
  </si>
  <si>
    <t>Jan-Feb.28</t>
  </si>
  <si>
    <t>Sal.savings</t>
  </si>
  <si>
    <t>Jan.- Feb.28</t>
  </si>
  <si>
    <t>AO#9(6/7/21)</t>
  </si>
  <si>
    <t>AO#12(6/22/21)</t>
  </si>
  <si>
    <t>AO#11(6/22/21)</t>
  </si>
  <si>
    <t>ICT Equipment - Desktop Computer</t>
  </si>
  <si>
    <t xml:space="preserve">                                                                             </t>
  </si>
  <si>
    <t>Augmentation of Fund AO No.20</t>
  </si>
  <si>
    <t>AO#14(6/28/21)</t>
  </si>
  <si>
    <t>AO#16(7/5/21)</t>
  </si>
  <si>
    <t>SB No.2</t>
  </si>
  <si>
    <t>SB No.2(7/12/21)</t>
  </si>
  <si>
    <t>March1-June 30</t>
  </si>
  <si>
    <t>March -June30</t>
  </si>
  <si>
    <t>March 1-June 30</t>
  </si>
  <si>
    <t>March 1- June 30</t>
  </si>
  <si>
    <t>SB No. 2(7/12/21)</t>
  </si>
  <si>
    <t>March 1-June30</t>
  </si>
  <si>
    <t>AO#19(7/12/21)</t>
  </si>
  <si>
    <t>AO#18(7/12/21)</t>
  </si>
  <si>
    <t>Legislative Signage( Name &amp; Logo)</t>
  </si>
  <si>
    <t>5-02-13--040</t>
  </si>
  <si>
    <t>AO#21(8/9/21)</t>
  </si>
  <si>
    <t>Planning Workshop/Writeshop for the Preparation of Devolution Transition Plan (DTP),LGU Capacity Developmrnt Agenda(CapDev) and LGU Communications Plan and Strategy</t>
  </si>
  <si>
    <t>Thematic Plans (TDP,RGP,LTRP &amp; YDP)</t>
  </si>
  <si>
    <t>AO#22(8/16/21)</t>
  </si>
  <si>
    <t xml:space="preserve"> Medical Supplies and Equiment</t>
  </si>
  <si>
    <t>AO#23(8/16/21)</t>
  </si>
  <si>
    <t xml:space="preserve"> AO#23 (8/16/2021)</t>
  </si>
  <si>
    <t>AO#26(8/16/21)</t>
  </si>
  <si>
    <t>AO#23(8/6/21)</t>
  </si>
  <si>
    <t>Augmentation of Fund of dated 9/20/21 (AO No. 27)</t>
  </si>
  <si>
    <t>Kasalang Bayan</t>
  </si>
  <si>
    <t>Informercial Vlog Making contest</t>
  </si>
  <si>
    <t>Coastal Clean-up</t>
  </si>
  <si>
    <t>Inauguration of Lagoon at Walang Langit Water Falls</t>
  </si>
  <si>
    <t>Blessing and Openning of Twin Phanton Cave</t>
  </si>
  <si>
    <t>Sa Laban ng Pandemya, Tara! Lakad, Padyak, Tanim, Edukasyon ng Kabataang Gloriano'y Maaatim</t>
  </si>
  <si>
    <t>Re-Opening of OTOP Marketing Center</t>
  </si>
  <si>
    <t>Bambboo Shoot Cooking &amp; Bamboo Dining Sets Contest</t>
  </si>
  <si>
    <t xml:space="preserve">Thanksgiving Mass </t>
  </si>
  <si>
    <t>Virtual Presentaion of the Activities Done During Kawayanan Festival 2021</t>
  </si>
  <si>
    <t>AO#25(8/23/21)</t>
  </si>
  <si>
    <t>SB  No.2</t>
  </si>
  <si>
    <t>SB  No.3</t>
  </si>
  <si>
    <t>Installation of Electrical System at PCA Coco Hub</t>
  </si>
  <si>
    <t>SB No. 3</t>
  </si>
  <si>
    <t>SB No.3</t>
  </si>
  <si>
    <t>Legal services</t>
  </si>
  <si>
    <t>Extraordinary and Miscellaneous Expenses</t>
  </si>
  <si>
    <t>9/20/221</t>
  </si>
  <si>
    <t>Construction of footbridge - sitio Palayan Banus</t>
  </si>
  <si>
    <t>Level 2 Water System-Sitio Libasan, Mirayan (8000-3-9-126)</t>
  </si>
  <si>
    <t>Road Networks</t>
  </si>
  <si>
    <t>Construction of Footbridge-Sitio Palayan, Banus (8000-3-9-84)</t>
  </si>
  <si>
    <t>Construction of Multi-Purpose Drying Pavement with mini warehouse or Solar Dryers in Barangay Mirayan and Balete</t>
  </si>
  <si>
    <t>For the month of July</t>
  </si>
  <si>
    <t>SB No.3(9/20/21)</t>
  </si>
  <si>
    <t>month of July</t>
  </si>
  <si>
    <t>z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</si>
  <si>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</si>
  <si>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Augmentation of fund(AO No.34)</t>
  </si>
  <si>
    <t>Other Disaster Related Capacity Development Activities</t>
  </si>
  <si>
    <t>AO#31(10/4/21)</t>
  </si>
  <si>
    <t>AO#30(10/4/21)</t>
  </si>
  <si>
    <t>Augmentation of Fund AO No.29</t>
  </si>
  <si>
    <t>Repair &amp; maintenance building &amp; Other structures</t>
  </si>
  <si>
    <t>AO#28(10/4/21)</t>
  </si>
  <si>
    <t>AO#28(9/27/21)</t>
  </si>
  <si>
    <t>AO#37(10/25/21)</t>
  </si>
  <si>
    <t>AO#13(7/28/21)</t>
  </si>
  <si>
    <t>Other structures</t>
  </si>
  <si>
    <t>Other Machineries &amp; Equipment</t>
  </si>
  <si>
    <t>Other Stuctures</t>
  </si>
  <si>
    <t>Water Supply System</t>
  </si>
  <si>
    <t>Other Infrastructure Assets</t>
  </si>
  <si>
    <t>For the Period October 1-31, 2021</t>
  </si>
  <si>
    <t>Other COVID Related Projects</t>
  </si>
  <si>
    <t>AO#33(10/11/21)</t>
  </si>
  <si>
    <t>SB No.4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</si>
</sst>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#,##0;[Red]#,##0"/>
    <numFmt numFmtId="166" formatCode="[$-F800]dddd\,\ mmmm\ dd\,\ 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i/>
      <sz val="10"/>
      <name val="Arial Narrow"/>
      <family val="2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sz val="12"/>
      <color rgb="FFFF0000"/>
      <name val="Arial Narrow"/>
      <family val="2"/>
    </font>
    <font>
      <b/>
      <i/>
      <sz val="9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sz val="12"/>
      <name val="Arial Narrow"/>
      <family val="2"/>
    </font>
    <font>
      <u/>
      <sz val="10"/>
      <color theme="10"/>
      <name val="Arial"/>
      <family val="2"/>
    </font>
    <font>
      <b/>
      <u/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name val="Arial"/>
      <family val="2"/>
    </font>
    <font>
      <i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50">
    <xf numFmtId="0" fontId="0" fillId="0" borderId="0" xfId="0"/>
    <xf numFmtId="164" fontId="2" fillId="0" borderId="0" xfId="1" applyFont="1"/>
    <xf numFmtId="164" fontId="0" fillId="0" borderId="0" xfId="1" applyFont="1"/>
    <xf numFmtId="0" fontId="8" fillId="0" borderId="0" xfId="2" applyFont="1" applyFill="1" applyBorder="1"/>
    <xf numFmtId="0" fontId="9" fillId="0" borderId="0" xfId="5" applyFont="1" applyFill="1" applyBorder="1" applyAlignment="1"/>
    <xf numFmtId="0" fontId="9" fillId="0" borderId="0" xfId="2" applyFont="1" applyFill="1" applyBorder="1" applyAlignment="1"/>
    <xf numFmtId="164" fontId="9" fillId="0" borderId="0" xfId="1" applyFont="1" applyFill="1" applyBorder="1"/>
    <xf numFmtId="43" fontId="8" fillId="0" borderId="0" xfId="3" applyNumberFormat="1" applyFont="1" applyFill="1" applyBorder="1"/>
    <xf numFmtId="0" fontId="10" fillId="0" borderId="0" xfId="2" applyFont="1" applyFill="1" applyBorder="1"/>
    <xf numFmtId="0" fontId="9" fillId="0" borderId="0" xfId="2" applyFont="1" applyBorder="1" applyAlignment="1">
      <alignment horizontal="center"/>
    </xf>
    <xf numFmtId="0" fontId="9" fillId="0" borderId="0" xfId="5" applyFont="1" applyBorder="1" applyAlignment="1"/>
    <xf numFmtId="0" fontId="9" fillId="0" borderId="0" xfId="5" applyNumberFormat="1" applyFont="1" applyBorder="1" applyAlignment="1">
      <alignment horizontal="center" wrapText="1"/>
    </xf>
    <xf numFmtId="0" fontId="9" fillId="0" borderId="0" xfId="2" applyFont="1" applyBorder="1" applyAlignment="1"/>
    <xf numFmtId="0" fontId="8" fillId="0" borderId="0" xfId="8" applyFont="1" applyFill="1" applyBorder="1"/>
    <xf numFmtId="0" fontId="9" fillId="0" borderId="0" xfId="8" applyFont="1" applyFill="1" applyBorder="1" applyAlignment="1">
      <alignment horizontal="center"/>
    </xf>
    <xf numFmtId="0" fontId="8" fillId="0" borderId="0" xfId="5" applyFont="1" applyFill="1" applyBorder="1"/>
    <xf numFmtId="0" fontId="9" fillId="0" borderId="0" xfId="5" applyFont="1" applyFill="1" applyBorder="1"/>
    <xf numFmtId="43" fontId="9" fillId="0" borderId="0" xfId="5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1" applyFont="1" applyBorder="1" applyAlignment="1"/>
    <xf numFmtId="164" fontId="8" fillId="0" borderId="0" xfId="1" applyFont="1" applyBorder="1" applyAlignment="1">
      <alignment horizontal="center"/>
    </xf>
    <xf numFmtId="0" fontId="13" fillId="0" borderId="0" xfId="0" applyFont="1"/>
    <xf numFmtId="164" fontId="4" fillId="0" borderId="0" xfId="1" applyFont="1" applyFill="1" applyBorder="1"/>
    <xf numFmtId="164" fontId="9" fillId="0" borderId="0" xfId="1" applyFont="1" applyBorder="1" applyAlignment="1">
      <alignment horizontal="center"/>
    </xf>
    <xf numFmtId="164" fontId="8" fillId="0" borderId="0" xfId="1" applyFont="1" applyBorder="1"/>
    <xf numFmtId="0" fontId="8" fillId="0" borderId="1" xfId="0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43" fontId="4" fillId="0" borderId="0" xfId="7" applyFont="1" applyFill="1" applyBorder="1"/>
    <xf numFmtId="0" fontId="0" fillId="0" borderId="0" xfId="0" applyFont="1"/>
    <xf numFmtId="43" fontId="9" fillId="0" borderId="0" xfId="6" applyFont="1" applyBorder="1" applyAlignment="1">
      <alignment horizontal="center"/>
    </xf>
    <xf numFmtId="43" fontId="8" fillId="0" borderId="0" xfId="7" applyFont="1" applyBorder="1"/>
    <xf numFmtId="0" fontId="8" fillId="0" borderId="0" xfId="8" applyFont="1" applyFill="1" applyBorder="1" applyAlignment="1">
      <alignment horizontal="center"/>
    </xf>
    <xf numFmtId="4" fontId="8" fillId="0" borderId="0" xfId="8" applyNumberFormat="1" applyFont="1" applyFill="1" applyBorder="1"/>
    <xf numFmtId="0" fontId="9" fillId="2" borderId="0" xfId="8" applyFont="1" applyFill="1" applyBorder="1" applyAlignment="1">
      <alignment wrapText="1"/>
    </xf>
    <xf numFmtId="43" fontId="9" fillId="2" borderId="0" xfId="7" applyNumberFormat="1" applyFont="1" applyFill="1" applyBorder="1"/>
    <xf numFmtId="43" fontId="8" fillId="2" borderId="0" xfId="7" applyFont="1" applyFill="1" applyBorder="1"/>
    <xf numFmtId="0" fontId="18" fillId="0" borderId="0" xfId="0" applyFont="1"/>
    <xf numFmtId="0" fontId="8" fillId="0" borderId="6" xfId="0" applyFont="1" applyBorder="1" applyAlignment="1">
      <alignment horizontal="center"/>
    </xf>
    <xf numFmtId="164" fontId="8" fillId="0" borderId="6" xfId="1" applyFont="1" applyBorder="1" applyAlignment="1"/>
    <xf numFmtId="164" fontId="9" fillId="0" borderId="6" xfId="1" applyFont="1" applyBorder="1"/>
    <xf numFmtId="164" fontId="8" fillId="0" borderId="6" xfId="1" applyFont="1" applyBorder="1" applyAlignment="1">
      <alignment horizontal="center"/>
    </xf>
    <xf numFmtId="0" fontId="2" fillId="0" borderId="6" xfId="0" applyFont="1" applyBorder="1"/>
    <xf numFmtId="164" fontId="2" fillId="0" borderId="6" xfId="1" applyFont="1" applyBorder="1"/>
    <xf numFmtId="0" fontId="8" fillId="0" borderId="6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164" fontId="2" fillId="0" borderId="6" xfId="1" applyFont="1" applyFill="1" applyBorder="1" applyAlignment="1">
      <alignment horizontal="center"/>
    </xf>
    <xf numFmtId="0" fontId="0" fillId="0" borderId="6" xfId="0" applyBorder="1"/>
    <xf numFmtId="0" fontId="9" fillId="0" borderId="6" xfId="0" applyFont="1" applyFill="1" applyBorder="1"/>
    <xf numFmtId="0" fontId="9" fillId="0" borderId="6" xfId="0" applyFont="1" applyFill="1" applyBorder="1" applyAlignment="1">
      <alignment horizontal="center"/>
    </xf>
    <xf numFmtId="0" fontId="9" fillId="0" borderId="6" xfId="2" applyFont="1" applyFill="1" applyBorder="1"/>
    <xf numFmtId="164" fontId="9" fillId="0" borderId="6" xfId="1" applyFont="1" applyFill="1" applyBorder="1"/>
    <xf numFmtId="0" fontId="8" fillId="0" borderId="6" xfId="2" applyFont="1" applyFill="1" applyBorder="1"/>
    <xf numFmtId="0" fontId="9" fillId="0" borderId="6" xfId="2" applyFont="1" applyFill="1" applyBorder="1" applyAlignment="1">
      <alignment horizontal="center"/>
    </xf>
    <xf numFmtId="0" fontId="8" fillId="0" borderId="6" xfId="0" applyFont="1" applyFill="1" applyBorder="1" applyAlignment="1">
      <alignment vertical="center"/>
    </xf>
    <xf numFmtId="0" fontId="8" fillId="0" borderId="6" xfId="3" applyFont="1" applyFill="1" applyBorder="1" applyAlignment="1">
      <alignment horizontal="center" vertical="center"/>
    </xf>
    <xf numFmtId="43" fontId="9" fillId="0" borderId="6" xfId="0" applyNumberFormat="1" applyFont="1" applyFill="1" applyBorder="1" applyAlignment="1">
      <alignment horizontal="center"/>
    </xf>
    <xf numFmtId="164" fontId="2" fillId="0" borderId="6" xfId="1" applyFont="1" applyFill="1" applyBorder="1"/>
    <xf numFmtId="0" fontId="2" fillId="0" borderId="6" xfId="0" applyFont="1" applyFill="1" applyBorder="1" applyAlignment="1">
      <alignment horizontal="left"/>
    </xf>
    <xf numFmtId="0" fontId="9" fillId="0" borderId="6" xfId="0" applyFont="1" applyFill="1" applyBorder="1" applyAlignment="1"/>
    <xf numFmtId="0" fontId="9" fillId="0" borderId="6" xfId="0" applyFont="1" applyFill="1" applyBorder="1" applyAlignment="1">
      <alignment horizontal="left" indent="2"/>
    </xf>
    <xf numFmtId="0" fontId="9" fillId="0" borderId="6" xfId="0" applyFont="1" applyFill="1" applyBorder="1" applyAlignment="1">
      <alignment horizontal="left"/>
    </xf>
    <xf numFmtId="164" fontId="4" fillId="0" borderId="6" xfId="1" applyFont="1" applyBorder="1"/>
    <xf numFmtId="0" fontId="8" fillId="0" borderId="6" xfId="2" applyFont="1" applyFill="1" applyBorder="1" applyAlignment="1"/>
    <xf numFmtId="43" fontId="8" fillId="0" borderId="6" xfId="0" applyNumberFormat="1" applyFont="1" applyFill="1" applyBorder="1" applyAlignment="1">
      <alignment horizontal="center"/>
    </xf>
    <xf numFmtId="0" fontId="9" fillId="0" borderId="6" xfId="2" applyFont="1" applyFill="1" applyBorder="1" applyAlignment="1"/>
    <xf numFmtId="0" fontId="9" fillId="0" borderId="6" xfId="5" applyNumberFormat="1" applyFont="1" applyFill="1" applyBorder="1" applyAlignment="1">
      <alignment horizontal="center" wrapText="1"/>
    </xf>
    <xf numFmtId="43" fontId="8" fillId="0" borderId="6" xfId="0" applyNumberFormat="1" applyFont="1" applyFill="1" applyBorder="1"/>
    <xf numFmtId="0" fontId="8" fillId="0" borderId="8" xfId="0" applyFont="1" applyBorder="1" applyAlignment="1">
      <alignment horizontal="center"/>
    </xf>
    <xf numFmtId="164" fontId="8" fillId="0" borderId="8" xfId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8" fillId="0" borderId="7" xfId="1" applyFont="1" applyBorder="1" applyAlignment="1"/>
    <xf numFmtId="164" fontId="9" fillId="0" borderId="7" xfId="1" applyFont="1" applyBorder="1"/>
    <xf numFmtId="164" fontId="8" fillId="0" borderId="7" xfId="1" applyFont="1" applyBorder="1" applyAlignment="1">
      <alignment horizontal="center"/>
    </xf>
    <xf numFmtId="164" fontId="8" fillId="0" borderId="9" xfId="1" applyFont="1" applyBorder="1" applyAlignment="1">
      <alignment horizontal="center"/>
    </xf>
    <xf numFmtId="164" fontId="8" fillId="0" borderId="10" xfId="1" applyFont="1" applyBorder="1" applyAlignment="1">
      <alignment horizontal="center"/>
    </xf>
    <xf numFmtId="164" fontId="3" fillId="0" borderId="6" xfId="1" applyFont="1" applyBorder="1"/>
    <xf numFmtId="164" fontId="8" fillId="0" borderId="6" xfId="1" applyFont="1" applyFill="1" applyBorder="1"/>
    <xf numFmtId="0" fontId="10" fillId="0" borderId="6" xfId="2" applyFont="1" applyFill="1" applyBorder="1"/>
    <xf numFmtId="164" fontId="4" fillId="0" borderId="6" xfId="1" applyFont="1" applyFill="1" applyBorder="1"/>
    <xf numFmtId="0" fontId="18" fillId="0" borderId="6" xfId="0" applyFont="1" applyBorder="1"/>
    <xf numFmtId="164" fontId="9" fillId="0" borderId="7" xfId="1" applyFont="1" applyBorder="1" applyAlignment="1">
      <alignment horizontal="center"/>
    </xf>
    <xf numFmtId="164" fontId="8" fillId="0" borderId="7" xfId="1" applyFont="1" applyBorder="1"/>
    <xf numFmtId="164" fontId="9" fillId="0" borderId="8" xfId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4" fontId="9" fillId="0" borderId="6" xfId="2" applyNumberFormat="1" applyFont="1" applyFill="1" applyBorder="1"/>
    <xf numFmtId="164" fontId="0" fillId="0" borderId="6" xfId="0" applyNumberFormat="1" applyBorder="1"/>
    <xf numFmtId="164" fontId="0" fillId="0" borderId="6" xfId="1" applyFont="1" applyBorder="1"/>
    <xf numFmtId="0" fontId="2" fillId="0" borderId="6" xfId="0" applyFont="1" applyFill="1" applyBorder="1" applyAlignment="1"/>
    <xf numFmtId="0" fontId="2" fillId="0" borderId="6" xfId="0" applyFont="1" applyBorder="1" applyAlignment="1">
      <alignment horizontal="center"/>
    </xf>
    <xf numFmtId="4" fontId="8" fillId="0" borderId="6" xfId="2" applyNumberFormat="1" applyFont="1" applyFill="1" applyBorder="1"/>
    <xf numFmtId="43" fontId="9" fillId="0" borderId="6" xfId="7" applyFont="1" applyBorder="1" applyAlignment="1">
      <alignment horizontal="center"/>
    </xf>
    <xf numFmtId="164" fontId="9" fillId="0" borderId="10" xfId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9" fillId="0" borderId="4" xfId="1" applyFont="1" applyBorder="1" applyAlignment="1">
      <alignment horizontal="center"/>
    </xf>
    <xf numFmtId="164" fontId="8" fillId="0" borderId="4" xfId="1" applyFont="1" applyBorder="1" applyAlignment="1">
      <alignment horizontal="center"/>
    </xf>
    <xf numFmtId="0" fontId="0" fillId="0" borderId="6" xfId="0" applyFont="1" applyBorder="1"/>
    <xf numFmtId="43" fontId="9" fillId="0" borderId="6" xfId="7" applyFont="1" applyFill="1" applyBorder="1" applyAlignment="1">
      <alignment horizontal="center"/>
    </xf>
    <xf numFmtId="164" fontId="4" fillId="0" borderId="6" xfId="2" applyNumberFormat="1" applyFont="1" applyFill="1" applyBorder="1"/>
    <xf numFmtId="0" fontId="9" fillId="0" borderId="6" xfId="5" applyNumberFormat="1" applyFont="1" applyBorder="1" applyAlignment="1">
      <alignment horizontal="center" wrapText="1"/>
    </xf>
    <xf numFmtId="0" fontId="5" fillId="0" borderId="6" xfId="2" applyFont="1" applyFill="1" applyBorder="1"/>
    <xf numFmtId="43" fontId="4" fillId="0" borderId="6" xfId="7" applyFont="1" applyFill="1" applyBorder="1"/>
    <xf numFmtId="0" fontId="8" fillId="0" borderId="4" xfId="2" applyFont="1" applyFill="1" applyBorder="1"/>
    <xf numFmtId="0" fontId="0" fillId="0" borderId="8" xfId="0" applyBorder="1"/>
    <xf numFmtId="0" fontId="17" fillId="0" borderId="6" xfId="0" applyFont="1" applyBorder="1"/>
    <xf numFmtId="164" fontId="9" fillId="0" borderId="6" xfId="1" applyFont="1" applyBorder="1" applyAlignment="1">
      <alignment horizontal="center"/>
    </xf>
    <xf numFmtId="164" fontId="8" fillId="0" borderId="6" xfId="1" applyFont="1" applyBorder="1"/>
    <xf numFmtId="0" fontId="8" fillId="0" borderId="6" xfId="5" applyFont="1" applyFill="1" applyBorder="1"/>
    <xf numFmtId="0" fontId="9" fillId="0" borderId="6" xfId="5" applyFont="1" applyFill="1" applyBorder="1"/>
    <xf numFmtId="0" fontId="9" fillId="0" borderId="6" xfId="7" applyNumberFormat="1" applyFont="1" applyFill="1" applyBorder="1" applyAlignment="1">
      <alignment horizontal="center"/>
    </xf>
    <xf numFmtId="43" fontId="9" fillId="2" borderId="6" xfId="7" applyFont="1" applyFill="1" applyBorder="1"/>
    <xf numFmtId="0" fontId="9" fillId="0" borderId="6" xfId="5" applyFont="1" applyFill="1" applyBorder="1" applyAlignment="1">
      <alignment horizontal="center"/>
    </xf>
    <xf numFmtId="0" fontId="9" fillId="0" borderId="6" xfId="8" applyFont="1" applyFill="1" applyBorder="1"/>
    <xf numFmtId="0" fontId="9" fillId="0" borderId="6" xfId="8" applyFont="1" applyFill="1" applyBorder="1" applyAlignment="1">
      <alignment horizontal="center"/>
    </xf>
    <xf numFmtId="43" fontId="9" fillId="0" borderId="6" xfId="7" applyFont="1" applyFill="1" applyBorder="1"/>
    <xf numFmtId="14" fontId="9" fillId="0" borderId="6" xfId="5" applyNumberFormat="1" applyFont="1" applyFill="1" applyBorder="1" applyAlignment="1">
      <alignment horizontal="center"/>
    </xf>
    <xf numFmtId="43" fontId="8" fillId="0" borderId="6" xfId="5" applyNumberFormat="1" applyFont="1" applyFill="1" applyBorder="1"/>
    <xf numFmtId="0" fontId="9" fillId="0" borderId="6" xfId="5" applyFont="1" applyFill="1" applyBorder="1" applyAlignment="1"/>
    <xf numFmtId="164" fontId="8" fillId="0" borderId="6" xfId="2" applyNumberFormat="1" applyFont="1" applyFill="1" applyBorder="1"/>
    <xf numFmtId="164" fontId="9" fillId="2" borderId="6" xfId="1" applyFont="1" applyFill="1" applyBorder="1"/>
    <xf numFmtId="43" fontId="8" fillId="0" borderId="6" xfId="7" applyFont="1" applyFill="1" applyBorder="1"/>
    <xf numFmtId="43" fontId="9" fillId="0" borderId="6" xfId="5" applyNumberFormat="1" applyFont="1" applyFill="1" applyBorder="1"/>
    <xf numFmtId="0" fontId="9" fillId="0" borderId="6" xfId="8" applyFont="1" applyFill="1" applyBorder="1" applyAlignment="1"/>
    <xf numFmtId="0" fontId="8" fillId="0" borderId="6" xfId="5" applyFont="1" applyFill="1" applyBorder="1" applyAlignment="1"/>
    <xf numFmtId="0" fontId="3" fillId="0" borderId="6" xfId="0" applyFont="1" applyBorder="1"/>
    <xf numFmtId="0" fontId="19" fillId="0" borderId="6" xfId="5" applyFont="1" applyFill="1" applyBorder="1"/>
    <xf numFmtId="0" fontId="9" fillId="0" borderId="6" xfId="5" applyFont="1" applyFill="1" applyBorder="1" applyAlignment="1">
      <alignment horizontal="center" wrapText="1"/>
    </xf>
    <xf numFmtId="0" fontId="20" fillId="0" borderId="6" xfId="5" applyFont="1" applyFill="1" applyBorder="1"/>
    <xf numFmtId="0" fontId="19" fillId="0" borderId="4" xfId="5" applyFont="1" applyFill="1" applyBorder="1"/>
    <xf numFmtId="0" fontId="20" fillId="0" borderId="4" xfId="5" applyFont="1" applyFill="1" applyBorder="1"/>
    <xf numFmtId="0" fontId="8" fillId="0" borderId="6" xfId="8" applyFont="1" applyFill="1" applyBorder="1"/>
    <xf numFmtId="0" fontId="9" fillId="0" borderId="6" xfId="5" applyFont="1" applyFill="1" applyBorder="1" applyAlignment="1">
      <alignment horizontal="center" vertical="center"/>
    </xf>
    <xf numFmtId="0" fontId="9" fillId="0" borderId="6" xfId="5" applyNumberFormat="1" applyFont="1" applyFill="1" applyBorder="1" applyAlignment="1">
      <alignment horizontal="center"/>
    </xf>
    <xf numFmtId="0" fontId="12" fillId="0" borderId="6" xfId="5" applyFont="1" applyFill="1" applyBorder="1" applyAlignment="1">
      <alignment horizontal="left" vertical="center" wrapText="1"/>
    </xf>
    <xf numFmtId="0" fontId="8" fillId="0" borderId="6" xfId="5" applyFont="1" applyFill="1" applyBorder="1" applyAlignment="1">
      <alignment horizontal="center"/>
    </xf>
    <xf numFmtId="0" fontId="9" fillId="0" borderId="6" xfId="5" applyFont="1" applyFill="1" applyBorder="1" applyAlignment="1">
      <alignment horizontal="left" indent="3"/>
    </xf>
    <xf numFmtId="0" fontId="9" fillId="0" borderId="6" xfId="0" applyFont="1" applyFill="1" applyBorder="1" applyAlignment="1">
      <alignment horizontal="left" vertical="center" indent="3"/>
    </xf>
    <xf numFmtId="0" fontId="8" fillId="0" borderId="6" xfId="5" applyFont="1" applyFill="1" applyBorder="1" applyAlignment="1">
      <alignment vertical="center"/>
    </xf>
    <xf numFmtId="0" fontId="9" fillId="0" borderId="6" xfId="5" applyFont="1" applyFill="1" applyBorder="1" applyAlignment="1">
      <alignment horizontal="left" vertical="center" wrapText="1" indent="3"/>
    </xf>
    <xf numFmtId="0" fontId="8" fillId="0" borderId="6" xfId="5" applyFont="1" applyFill="1" applyBorder="1" applyAlignment="1">
      <alignment vertical="center" wrapText="1"/>
    </xf>
    <xf numFmtId="0" fontId="9" fillId="0" borderId="6" xfId="5" applyFont="1" applyFill="1" applyBorder="1" applyAlignment="1">
      <alignment horizontal="left" wrapText="1"/>
    </xf>
    <xf numFmtId="164" fontId="9" fillId="0" borderId="6" xfId="1" applyFont="1" applyFill="1" applyBorder="1" applyAlignment="1"/>
    <xf numFmtId="0" fontId="9" fillId="0" borderId="6" xfId="5" applyFont="1" applyFill="1" applyBorder="1" applyAlignment="1">
      <alignment horizontal="left" vertical="center" indent="3"/>
    </xf>
    <xf numFmtId="18" fontId="8" fillId="0" borderId="6" xfId="9" applyNumberFormat="1" applyFont="1" applyFill="1" applyBorder="1" applyAlignment="1">
      <alignment wrapText="1"/>
    </xf>
    <xf numFmtId="164" fontId="9" fillId="0" borderId="6" xfId="1" applyFont="1" applyFill="1" applyBorder="1" applyAlignment="1">
      <alignment horizontal="center"/>
    </xf>
    <xf numFmtId="164" fontId="8" fillId="0" borderId="6" xfId="1" applyFont="1" applyFill="1" applyBorder="1" applyAlignment="1">
      <alignment wrapText="1"/>
    </xf>
    <xf numFmtId="0" fontId="12" fillId="0" borderId="6" xfId="5" applyFont="1" applyFill="1" applyBorder="1" applyAlignment="1">
      <alignment horizontal="left" vertical="center" indent="1"/>
    </xf>
    <xf numFmtId="43" fontId="9" fillId="0" borderId="6" xfId="5" applyNumberFormat="1" applyFont="1" applyFill="1" applyBorder="1" applyAlignment="1">
      <alignment horizontal="center"/>
    </xf>
    <xf numFmtId="164" fontId="2" fillId="0" borderId="6" xfId="1" applyFont="1" applyFill="1" applyBorder="1" applyAlignment="1">
      <alignment vertical="center"/>
    </xf>
    <xf numFmtId="0" fontId="8" fillId="0" borderId="6" xfId="5" applyFont="1" applyFill="1" applyBorder="1" applyAlignment="1">
      <alignment horizontal="center" vertical="center"/>
    </xf>
    <xf numFmtId="0" fontId="8" fillId="0" borderId="4" xfId="5" applyFont="1" applyFill="1" applyBorder="1" applyAlignment="1"/>
    <xf numFmtId="43" fontId="8" fillId="0" borderId="4" xfId="5" applyNumberFormat="1" applyFont="1" applyFill="1" applyBorder="1" applyAlignment="1">
      <alignment horizontal="center"/>
    </xf>
    <xf numFmtId="0" fontId="9" fillId="0" borderId="6" xfId="5" applyFont="1" applyFill="1" applyBorder="1" applyAlignment="1">
      <alignment horizontal="left"/>
    </xf>
    <xf numFmtId="0" fontId="8" fillId="0" borderId="4" xfId="5" applyFont="1" applyFill="1" applyBorder="1"/>
    <xf numFmtId="0" fontId="9" fillId="0" borderId="4" xfId="5" applyFont="1" applyFill="1" applyBorder="1"/>
    <xf numFmtId="164" fontId="8" fillId="0" borderId="10" xfId="1" applyFont="1" applyBorder="1" applyAlignment="1"/>
    <xf numFmtId="164" fontId="8" fillId="0" borderId="10" xfId="1" applyFont="1" applyBorder="1"/>
    <xf numFmtId="0" fontId="0" fillId="0" borderId="0" xfId="0" applyBorder="1"/>
    <xf numFmtId="0" fontId="9" fillId="0" borderId="6" xfId="5" applyFont="1" applyFill="1" applyBorder="1" applyAlignment="1">
      <alignment horizontal="left" indent="5"/>
    </xf>
    <xf numFmtId="0" fontId="9" fillId="0" borderId="6" xfId="5" applyFont="1" applyFill="1" applyBorder="1" applyAlignment="1">
      <alignment horizontal="left" indent="4"/>
    </xf>
    <xf numFmtId="43" fontId="9" fillId="0" borderId="6" xfId="7" applyFont="1" applyFill="1" applyBorder="1" applyAlignment="1">
      <alignment horizontal="right" vertical="center"/>
    </xf>
    <xf numFmtId="164" fontId="17" fillId="0" borderId="6" xfId="1" applyFont="1" applyBorder="1"/>
    <xf numFmtId="43" fontId="9" fillId="0" borderId="6" xfId="7" applyFont="1" applyFill="1" applyBorder="1" applyAlignment="1">
      <alignment vertical="center"/>
    </xf>
    <xf numFmtId="0" fontId="8" fillId="0" borderId="6" xfId="5" applyFont="1" applyFill="1" applyBorder="1" applyAlignment="1">
      <alignment horizontal="left" indent="3"/>
    </xf>
    <xf numFmtId="0" fontId="2" fillId="0" borderId="6" xfId="0" applyFont="1" applyBorder="1" applyAlignment="1">
      <alignment horizontal="left" indent="1"/>
    </xf>
    <xf numFmtId="0" fontId="2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164" fontId="8" fillId="2" borderId="6" xfId="1" applyFont="1" applyFill="1" applyBorder="1"/>
    <xf numFmtId="43" fontId="8" fillId="0" borderId="6" xfId="7" applyFont="1" applyFill="1" applyBorder="1" applyAlignment="1">
      <alignment horizontal="left"/>
    </xf>
    <xf numFmtId="43" fontId="9" fillId="0" borderId="6" xfId="5" applyNumberFormat="1" applyFont="1" applyFill="1" applyBorder="1" applyAlignment="1">
      <alignment horizontal="left"/>
    </xf>
    <xf numFmtId="0" fontId="9" fillId="0" borderId="6" xfId="8" applyFont="1" applyFill="1" applyBorder="1" applyAlignment="1">
      <alignment horizontal="left" indent="2"/>
    </xf>
    <xf numFmtId="0" fontId="10" fillId="0" borderId="4" xfId="2" applyFont="1" applyFill="1" applyBorder="1"/>
    <xf numFmtId="0" fontId="0" fillId="0" borderId="13" xfId="0" applyBorder="1"/>
    <xf numFmtId="164" fontId="2" fillId="0" borderId="13" xfId="1" applyFont="1" applyBorder="1"/>
    <xf numFmtId="43" fontId="8" fillId="0" borderId="6" xfId="2" applyNumberFormat="1" applyFont="1" applyFill="1" applyBorder="1"/>
    <xf numFmtId="43" fontId="9" fillId="0" borderId="6" xfId="2" applyNumberFormat="1" applyFont="1" applyFill="1" applyBorder="1" applyAlignment="1">
      <alignment horizontal="center"/>
    </xf>
    <xf numFmtId="0" fontId="9" fillId="0" borderId="6" xfId="2" applyFont="1" applyFill="1" applyBorder="1" applyAlignment="1">
      <alignment horizontal="left" indent="4"/>
    </xf>
    <xf numFmtId="0" fontId="9" fillId="0" borderId="6" xfId="2" applyFont="1" applyFill="1" applyBorder="1" applyAlignment="1">
      <alignment horizontal="left" indent="5"/>
    </xf>
    <xf numFmtId="43" fontId="9" fillId="0" borderId="6" xfId="2" applyNumberFormat="1" applyFont="1" applyFill="1" applyBorder="1"/>
    <xf numFmtId="43" fontId="0" fillId="0" borderId="6" xfId="0" applyNumberFormat="1" applyBorder="1"/>
    <xf numFmtId="0" fontId="9" fillId="0" borderId="4" xfId="2" applyFont="1" applyFill="1" applyBorder="1"/>
    <xf numFmtId="0" fontId="8" fillId="0" borderId="6" xfId="2" applyFont="1" applyBorder="1"/>
    <xf numFmtId="0" fontId="9" fillId="0" borderId="6" xfId="2" applyFont="1" applyBorder="1"/>
    <xf numFmtId="0" fontId="9" fillId="0" borderId="6" xfId="5" applyFont="1" applyBorder="1" applyAlignment="1">
      <alignment horizontal="center"/>
    </xf>
    <xf numFmtId="0" fontId="8" fillId="0" borderId="6" xfId="2" applyFont="1" applyBorder="1" applyAlignment="1"/>
    <xf numFmtId="0" fontId="13" fillId="0" borderId="6" xfId="0" applyFont="1" applyBorder="1"/>
    <xf numFmtId="0" fontId="8" fillId="0" borderId="4" xfId="2" applyFont="1" applyBorder="1"/>
    <xf numFmtId="0" fontId="8" fillId="0" borderId="6" xfId="5" applyFont="1" applyBorder="1"/>
    <xf numFmtId="0" fontId="9" fillId="0" borderId="6" xfId="5" applyFont="1" applyBorder="1"/>
    <xf numFmtId="43" fontId="8" fillId="0" borderId="6" xfId="5" applyNumberFormat="1" applyFont="1" applyBorder="1" applyAlignment="1">
      <alignment horizontal="center"/>
    </xf>
    <xf numFmtId="43" fontId="9" fillId="0" borderId="6" xfId="5" applyNumberFormat="1" applyFont="1" applyBorder="1" applyAlignment="1">
      <alignment horizontal="center"/>
    </xf>
    <xf numFmtId="0" fontId="9" fillId="0" borderId="6" xfId="5" applyFont="1" applyBorder="1" applyAlignment="1">
      <alignment horizontal="center" vertical="center"/>
    </xf>
    <xf numFmtId="43" fontId="8" fillId="0" borderId="6" xfId="7" applyFont="1" applyBorder="1" applyAlignment="1">
      <alignment horizontal="center"/>
    </xf>
    <xf numFmtId="0" fontId="10" fillId="0" borderId="4" xfId="2" applyFont="1" applyBorder="1"/>
    <xf numFmtId="0" fontId="9" fillId="0" borderId="6" xfId="5" applyFont="1" applyBorder="1" applyAlignment="1">
      <alignment horizontal="center" wrapText="1"/>
    </xf>
    <xf numFmtId="43" fontId="9" fillId="0" borderId="6" xfId="6" applyFont="1" applyFill="1" applyBorder="1"/>
    <xf numFmtId="43" fontId="9" fillId="0" borderId="6" xfId="6" applyFont="1" applyBorder="1"/>
    <xf numFmtId="164" fontId="9" fillId="0" borderId="6" xfId="1" applyFont="1" applyBorder="1" applyAlignment="1">
      <alignment horizontal="left" indent="2"/>
    </xf>
    <xf numFmtId="0" fontId="9" fillId="0" borderId="6" xfId="2" applyFont="1" applyBorder="1" applyAlignment="1">
      <alignment horizontal="left" indent="2"/>
    </xf>
    <xf numFmtId="0" fontId="9" fillId="0" borderId="6" xfId="2" applyNumberFormat="1" applyFont="1" applyBorder="1" applyAlignment="1">
      <alignment horizontal="center"/>
    </xf>
    <xf numFmtId="43" fontId="9" fillId="0" borderId="6" xfId="7" applyNumberFormat="1" applyFont="1" applyFill="1" applyBorder="1"/>
    <xf numFmtId="43" fontId="8" fillId="0" borderId="6" xfId="7" applyFont="1" applyBorder="1"/>
    <xf numFmtId="0" fontId="9" fillId="0" borderId="6" xfId="2" applyFont="1" applyBorder="1" applyAlignment="1">
      <alignment horizontal="left"/>
    </xf>
    <xf numFmtId="0" fontId="2" fillId="0" borderId="6" xfId="5" applyFont="1" applyFill="1" applyBorder="1"/>
    <xf numFmtId="164" fontId="9" fillId="0" borderId="6" xfId="1" applyFont="1" applyFill="1" applyBorder="1" applyAlignment="1">
      <alignment vertical="center"/>
    </xf>
    <xf numFmtId="0" fontId="0" fillId="0" borderId="6" xfId="0" applyFill="1" applyBorder="1"/>
    <xf numFmtId="0" fontId="8" fillId="0" borderId="4" xfId="8" applyFont="1" applyFill="1" applyBorder="1"/>
    <xf numFmtId="43" fontId="2" fillId="0" borderId="13" xfId="7" applyNumberFormat="1" applyFont="1" applyFill="1" applyBorder="1" applyAlignment="1">
      <alignment vertical="center"/>
    </xf>
    <xf numFmtId="43" fontId="3" fillId="0" borderId="6" xfId="7" applyFont="1" applyFill="1" applyBorder="1"/>
    <xf numFmtId="43" fontId="2" fillId="0" borderId="6" xfId="7" applyNumberFormat="1" applyFont="1" applyFill="1" applyBorder="1" applyAlignment="1">
      <alignment vertical="center"/>
    </xf>
    <xf numFmtId="43" fontId="2" fillId="0" borderId="6" xfId="7" applyFont="1" applyFill="1" applyBorder="1" applyAlignment="1">
      <alignment horizontal="left" indent="3"/>
    </xf>
    <xf numFmtId="0" fontId="2" fillId="0" borderId="6" xfId="7" applyNumberFormat="1" applyFont="1" applyFill="1" applyBorder="1" applyAlignment="1">
      <alignment horizontal="center" vertical="center"/>
    </xf>
    <xf numFmtId="43" fontId="2" fillId="0" borderId="6" xfId="7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wrapText="1"/>
    </xf>
    <xf numFmtId="43" fontId="2" fillId="0" borderId="6" xfId="7" applyFont="1" applyFill="1" applyBorder="1"/>
    <xf numFmtId="0" fontId="3" fillId="0" borderId="6" xfId="8" applyFont="1" applyFill="1" applyBorder="1"/>
    <xf numFmtId="0" fontId="3" fillId="0" borderId="6" xfId="7" applyNumberFormat="1" applyFont="1" applyFill="1" applyBorder="1" applyAlignment="1">
      <alignment horizontal="center" vertical="center"/>
    </xf>
    <xf numFmtId="0" fontId="3" fillId="0" borderId="4" xfId="8" applyFont="1" applyFill="1" applyBorder="1"/>
    <xf numFmtId="43" fontId="3" fillId="0" borderId="4" xfId="7" applyFont="1" applyFill="1" applyBorder="1" applyAlignment="1">
      <alignment vertical="center"/>
    </xf>
    <xf numFmtId="43" fontId="8" fillId="0" borderId="6" xfId="8" applyNumberFormat="1" applyFont="1" applyFill="1" applyBorder="1"/>
    <xf numFmtId="43" fontId="9" fillId="0" borderId="6" xfId="8" applyNumberFormat="1" applyFont="1" applyFill="1" applyBorder="1" applyAlignment="1">
      <alignment horizontal="center"/>
    </xf>
    <xf numFmtId="0" fontId="8" fillId="0" borderId="6" xfId="8" applyFont="1" applyFill="1" applyBorder="1" applyAlignment="1">
      <alignment horizontal="center"/>
    </xf>
    <xf numFmtId="43" fontId="9" fillId="0" borderId="6" xfId="8" applyNumberFormat="1" applyFont="1" applyFill="1" applyBorder="1"/>
    <xf numFmtId="0" fontId="9" fillId="0" borderId="6" xfId="8" applyNumberFormat="1" applyFont="1" applyFill="1" applyBorder="1" applyAlignment="1">
      <alignment horizontal="center"/>
    </xf>
    <xf numFmtId="0" fontId="9" fillId="0" borderId="7" xfId="8" applyFont="1" applyFill="1" applyBorder="1" applyAlignment="1">
      <alignment horizontal="center"/>
    </xf>
    <xf numFmtId="43" fontId="9" fillId="0" borderId="7" xfId="7" applyFont="1" applyFill="1" applyBorder="1"/>
    <xf numFmtId="164" fontId="9" fillId="0" borderId="7" xfId="1" applyFont="1" applyFill="1" applyBorder="1"/>
    <xf numFmtId="164" fontId="3" fillId="0" borderId="7" xfId="1" applyFont="1" applyBorder="1"/>
    <xf numFmtId="43" fontId="2" fillId="0" borderId="6" xfId="5" applyNumberFormat="1" applyFont="1" applyFill="1" applyBorder="1"/>
    <xf numFmtId="43" fontId="2" fillId="2" borderId="6" xfId="7" applyFont="1" applyFill="1" applyBorder="1"/>
    <xf numFmtId="0" fontId="8" fillId="0" borderId="11" xfId="0" applyFont="1" applyBorder="1" applyAlignment="1">
      <alignment horizontal="center"/>
    </xf>
    <xf numFmtId="43" fontId="9" fillId="0" borderId="6" xfId="2" applyNumberFormat="1" applyFont="1" applyBorder="1" applyAlignment="1">
      <alignment horizontal="center"/>
    </xf>
    <xf numFmtId="0" fontId="9" fillId="0" borderId="6" xfId="2" applyFont="1" applyBorder="1" applyAlignment="1">
      <alignment horizontal="left" indent="4"/>
    </xf>
    <xf numFmtId="0" fontId="16" fillId="0" borderId="6" xfId="2" applyFont="1" applyBorder="1" applyAlignment="1">
      <alignment horizontal="left" wrapText="1"/>
    </xf>
    <xf numFmtId="0" fontId="9" fillId="0" borderId="4" xfId="2" applyFont="1" applyBorder="1" applyAlignment="1">
      <alignment horizontal="center"/>
    </xf>
    <xf numFmtId="0" fontId="8" fillId="0" borderId="6" xfId="4" applyFont="1" applyBorder="1"/>
    <xf numFmtId="0" fontId="9" fillId="0" borderId="6" xfId="4" applyFont="1" applyBorder="1" applyAlignment="1">
      <alignment horizontal="center"/>
    </xf>
    <xf numFmtId="0" fontId="9" fillId="0" borderId="6" xfId="4" applyFont="1" applyBorder="1"/>
    <xf numFmtId="43" fontId="9" fillId="0" borderId="6" xfId="4" applyNumberFormat="1" applyFont="1" applyBorder="1"/>
    <xf numFmtId="0" fontId="8" fillId="0" borderId="6" xfId="4" applyFont="1" applyBorder="1" applyAlignment="1">
      <alignment vertical="center"/>
    </xf>
    <xf numFmtId="0" fontId="9" fillId="0" borderId="6" xfId="4" applyFont="1" applyBorder="1" applyAlignment="1">
      <alignment horizontal="left" indent="3"/>
    </xf>
    <xf numFmtId="0" fontId="8" fillId="0" borderId="6" xfId="4" applyFont="1" applyBorder="1" applyAlignment="1">
      <alignment horizontal="left"/>
    </xf>
    <xf numFmtId="0" fontId="8" fillId="0" borderId="6" xfId="4" applyFont="1" applyBorder="1" applyAlignment="1"/>
    <xf numFmtId="0" fontId="9" fillId="0" borderId="6" xfId="4" applyFont="1" applyBorder="1" applyAlignment="1">
      <alignment horizontal="left"/>
    </xf>
    <xf numFmtId="0" fontId="8" fillId="0" borderId="4" xfId="4" applyFont="1" applyBorder="1"/>
    <xf numFmtId="0" fontId="9" fillId="0" borderId="4" xfId="4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8" fillId="0" borderId="12" xfId="1" applyFont="1" applyBorder="1" applyAlignment="1">
      <alignment horizontal="center"/>
    </xf>
    <xf numFmtId="164" fontId="8" fillId="0" borderId="12" xfId="1" applyFont="1" applyBorder="1" applyAlignment="1"/>
    <xf numFmtId="164" fontId="8" fillId="0" borderId="12" xfId="1" applyFont="1" applyBorder="1"/>
    <xf numFmtId="0" fontId="9" fillId="0" borderId="6" xfId="0" applyFont="1" applyBorder="1"/>
    <xf numFmtId="0" fontId="8" fillId="2" borderId="6" xfId="8" applyFont="1" applyFill="1" applyBorder="1" applyAlignment="1">
      <alignment wrapText="1"/>
    </xf>
    <xf numFmtId="0" fontId="8" fillId="2" borderId="4" xfId="8" applyFont="1" applyFill="1" applyBorder="1" applyAlignment="1">
      <alignment wrapText="1"/>
    </xf>
    <xf numFmtId="0" fontId="9" fillId="0" borderId="4" xfId="8" applyFont="1" applyFill="1" applyBorder="1" applyAlignment="1">
      <alignment horizontal="center"/>
    </xf>
    <xf numFmtId="0" fontId="3" fillId="0" borderId="6" xfId="0" applyFont="1" applyFill="1" applyBorder="1" applyAlignment="1">
      <alignment horizontal="left" indent="3"/>
    </xf>
    <xf numFmtId="0" fontId="11" fillId="0" borderId="0" xfId="0" applyFont="1" applyAlignment="1">
      <alignment horizontal="left"/>
    </xf>
    <xf numFmtId="0" fontId="5" fillId="0" borderId="0" xfId="0" applyFont="1"/>
    <xf numFmtId="0" fontId="11" fillId="0" borderId="0" xfId="0" applyFont="1"/>
    <xf numFmtId="0" fontId="9" fillId="0" borderId="0" xfId="2" applyFont="1" applyFill="1" applyBorder="1"/>
    <xf numFmtId="164" fontId="8" fillId="0" borderId="16" xfId="1" applyFont="1" applyBorder="1" applyAlignment="1"/>
    <xf numFmtId="0" fontId="8" fillId="0" borderId="19" xfId="0" applyFont="1" applyBorder="1" applyAlignment="1">
      <alignment horizontal="center"/>
    </xf>
    <xf numFmtId="0" fontId="13" fillId="0" borderId="0" xfId="0" applyFont="1" applyBorder="1"/>
    <xf numFmtId="164" fontId="13" fillId="0" borderId="6" xfId="1" applyFont="1" applyBorder="1"/>
    <xf numFmtId="164" fontId="23" fillId="0" borderId="6" xfId="1" applyFont="1" applyBorder="1"/>
    <xf numFmtId="164" fontId="0" fillId="0" borderId="13" xfId="1" applyFont="1" applyBorder="1"/>
    <xf numFmtId="0" fontId="0" fillId="0" borderId="13" xfId="0" applyFont="1" applyBorder="1"/>
    <xf numFmtId="0" fontId="17" fillId="0" borderId="13" xfId="0" applyFont="1" applyBorder="1"/>
    <xf numFmtId="0" fontId="17" fillId="0" borderId="0" xfId="0" applyFont="1"/>
    <xf numFmtId="164" fontId="4" fillId="2" borderId="6" xfId="1" applyFont="1" applyFill="1" applyBorder="1"/>
    <xf numFmtId="0" fontId="18" fillId="0" borderId="8" xfId="0" applyFont="1" applyBorder="1"/>
    <xf numFmtId="0" fontId="2" fillId="0" borderId="6" xfId="0" applyFont="1" applyFill="1" applyBorder="1" applyAlignment="1">
      <alignment horizontal="left" indent="2"/>
    </xf>
    <xf numFmtId="0" fontId="2" fillId="0" borderId="6" xfId="0" applyFont="1" applyFill="1" applyBorder="1" applyAlignment="1">
      <alignment horizontal="left" indent="3"/>
    </xf>
    <xf numFmtId="0" fontId="9" fillId="0" borderId="6" xfId="0" applyFont="1" applyFill="1" applyBorder="1" applyAlignment="1">
      <alignment horizontal="left" indent="3"/>
    </xf>
    <xf numFmtId="0" fontId="9" fillId="0" borderId="6" xfId="0" applyFont="1" applyFill="1" applyBorder="1" applyAlignment="1">
      <alignment horizontal="left" indent="4"/>
    </xf>
    <xf numFmtId="43" fontId="9" fillId="0" borderId="6" xfId="0" applyNumberFormat="1" applyFont="1" applyFill="1" applyBorder="1" applyAlignment="1">
      <alignment horizontal="left" indent="4"/>
    </xf>
    <xf numFmtId="0" fontId="9" fillId="0" borderId="6" xfId="0" applyFont="1" applyFill="1" applyBorder="1" applyAlignment="1">
      <alignment horizontal="left" indent="5"/>
    </xf>
    <xf numFmtId="0" fontId="9" fillId="0" borderId="7" xfId="0" applyFont="1" applyFill="1" applyBorder="1" applyAlignment="1">
      <alignment horizontal="center"/>
    </xf>
    <xf numFmtId="43" fontId="8" fillId="0" borderId="8" xfId="3" applyNumberFormat="1" applyFont="1" applyFill="1" applyBorder="1" applyAlignment="1">
      <alignment horizontal="center"/>
    </xf>
    <xf numFmtId="164" fontId="9" fillId="0" borderId="6" xfId="1" applyFont="1" applyFill="1" applyBorder="1" applyAlignment="1">
      <alignment horizontal="left" indent="4"/>
    </xf>
    <xf numFmtId="164" fontId="9" fillId="2" borderId="0" xfId="1" applyFont="1" applyFill="1" applyBorder="1"/>
    <xf numFmtId="164" fontId="8" fillId="2" borderId="0" xfId="1" applyFont="1" applyFill="1" applyBorder="1"/>
    <xf numFmtId="0" fontId="8" fillId="0" borderId="6" xfId="0" applyFont="1" applyFill="1" applyBorder="1" applyAlignment="1">
      <alignment horizontal="left" indent="2"/>
    </xf>
    <xf numFmtId="0" fontId="9" fillId="0" borderId="6" xfId="2" applyFont="1" applyFill="1" applyBorder="1" applyAlignment="1">
      <alignment horizontal="left" indent="2"/>
    </xf>
    <xf numFmtId="0" fontId="8" fillId="0" borderId="6" xfId="2" applyFont="1" applyFill="1" applyBorder="1" applyAlignment="1">
      <alignment horizontal="left" indent="2"/>
    </xf>
    <xf numFmtId="43" fontId="8" fillId="0" borderId="6" xfId="0" applyNumberFormat="1" applyFont="1" applyFill="1" applyBorder="1" applyAlignment="1">
      <alignment horizontal="left" indent="2"/>
    </xf>
    <xf numFmtId="164" fontId="9" fillId="0" borderId="0" xfId="1" applyFont="1"/>
    <xf numFmtId="164" fontId="8" fillId="0" borderId="6" xfId="1" applyFont="1" applyFill="1" applyBorder="1" applyAlignment="1">
      <alignment vertical="center"/>
    </xf>
    <xf numFmtId="164" fontId="8" fillId="0" borderId="6" xfId="1" applyFont="1" applyFill="1" applyBorder="1" applyAlignment="1">
      <alignment horizontal="center"/>
    </xf>
    <xf numFmtId="164" fontId="9" fillId="0" borderId="6" xfId="1" applyFont="1" applyBorder="1" applyAlignment="1">
      <alignment horizontal="left" indent="4"/>
    </xf>
    <xf numFmtId="0" fontId="13" fillId="0" borderId="0" xfId="0" applyFont="1" applyAlignment="1">
      <alignment horizontal="left" indent="4"/>
    </xf>
    <xf numFmtId="0" fontId="13" fillId="0" borderId="7" xfId="0" applyFont="1" applyBorder="1"/>
    <xf numFmtId="0" fontId="24" fillId="0" borderId="6" xfId="0" applyFont="1" applyBorder="1"/>
    <xf numFmtId="0" fontId="24" fillId="0" borderId="6" xfId="0" applyFont="1" applyBorder="1" applyAlignment="1">
      <alignment horizontal="left" indent="2"/>
    </xf>
    <xf numFmtId="0" fontId="13" fillId="0" borderId="6" xfId="0" applyFont="1" applyBorder="1" applyAlignment="1">
      <alignment horizontal="left" indent="5"/>
    </xf>
    <xf numFmtId="0" fontId="13" fillId="0" borderId="6" xfId="0" applyFont="1" applyBorder="1" applyAlignment="1">
      <alignment horizontal="left" wrapText="1" indent="5"/>
    </xf>
    <xf numFmtId="164" fontId="24" fillId="0" borderId="6" xfId="1" applyFont="1" applyBorder="1"/>
    <xf numFmtId="0" fontId="20" fillId="0" borderId="6" xfId="0" applyFont="1" applyBorder="1"/>
    <xf numFmtId="0" fontId="24" fillId="0" borderId="0" xfId="0" applyFont="1"/>
    <xf numFmtId="43" fontId="8" fillId="0" borderId="6" xfId="3" applyNumberFormat="1" applyFont="1" applyFill="1" applyBorder="1"/>
    <xf numFmtId="0" fontId="9" fillId="0" borderId="0" xfId="0" applyFont="1"/>
    <xf numFmtId="164" fontId="13" fillId="0" borderId="0" xfId="1" applyFont="1"/>
    <xf numFmtId="164" fontId="20" fillId="0" borderId="6" xfId="1" applyFont="1" applyFill="1" applyBorder="1"/>
    <xf numFmtId="0" fontId="19" fillId="0" borderId="6" xfId="2" applyFont="1" applyFill="1" applyBorder="1"/>
    <xf numFmtId="164" fontId="19" fillId="0" borderId="6" xfId="1" applyFont="1" applyFill="1" applyBorder="1"/>
    <xf numFmtId="0" fontId="19" fillId="0" borderId="6" xfId="0" applyFont="1" applyFill="1" applyBorder="1"/>
    <xf numFmtId="164" fontId="24" fillId="0" borderId="6" xfId="0" applyNumberFormat="1" applyFont="1" applyBorder="1"/>
    <xf numFmtId="0" fontId="8" fillId="0" borderId="6" xfId="2" applyFont="1" applyFill="1" applyBorder="1" applyAlignment="1">
      <alignment horizontal="left"/>
    </xf>
    <xf numFmtId="4" fontId="9" fillId="0" borderId="6" xfId="2" applyNumberFormat="1" applyFont="1" applyFill="1" applyBorder="1" applyAlignment="1">
      <alignment horizontal="center"/>
    </xf>
    <xf numFmtId="4" fontId="9" fillId="0" borderId="6" xfId="2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164" fontId="2" fillId="0" borderId="6" xfId="1" applyFont="1" applyBorder="1" applyAlignment="1">
      <alignment horizontal="center"/>
    </xf>
    <xf numFmtId="43" fontId="9" fillId="0" borderId="6" xfId="7" applyFont="1" applyBorder="1" applyAlignment="1">
      <alignment horizontal="left"/>
    </xf>
    <xf numFmtId="164" fontId="8" fillId="0" borderId="6" xfId="1" applyFont="1" applyBorder="1" applyAlignment="1">
      <alignment horizontal="left"/>
    </xf>
    <xf numFmtId="0" fontId="13" fillId="0" borderId="0" xfId="0" applyFont="1" applyAlignment="1">
      <alignment horizontal="left"/>
    </xf>
    <xf numFmtId="164" fontId="24" fillId="0" borderId="6" xfId="0" applyNumberFormat="1" applyFont="1" applyBorder="1" applyAlignment="1">
      <alignment horizontal="left"/>
    </xf>
    <xf numFmtId="164" fontId="8" fillId="2" borderId="6" xfId="1" applyFont="1" applyFill="1" applyBorder="1" applyAlignment="1">
      <alignment horizontal="center"/>
    </xf>
    <xf numFmtId="0" fontId="24" fillId="0" borderId="8" xfId="0" applyFont="1" applyBorder="1"/>
    <xf numFmtId="0" fontId="13" fillId="0" borderId="8" xfId="0" applyFont="1" applyBorder="1"/>
    <xf numFmtId="164" fontId="9" fillId="0" borderId="8" xfId="1" applyFont="1" applyBorder="1"/>
    <xf numFmtId="164" fontId="13" fillId="0" borderId="6" xfId="0" applyNumberFormat="1" applyFont="1" applyBorder="1"/>
    <xf numFmtId="0" fontId="9" fillId="0" borderId="4" xfId="8" applyFont="1" applyFill="1" applyBorder="1"/>
    <xf numFmtId="164" fontId="8" fillId="0" borderId="4" xfId="1" applyFont="1" applyFill="1" applyBorder="1"/>
    <xf numFmtId="0" fontId="8" fillId="0" borderId="6" xfId="0" applyFont="1" applyFill="1" applyBorder="1" applyAlignment="1">
      <alignment horizontal="left" indent="3"/>
    </xf>
    <xf numFmtId="0" fontId="8" fillId="0" borderId="6" xfId="5" applyFont="1" applyFill="1" applyBorder="1" applyAlignment="1">
      <alignment horizontal="left" indent="2"/>
    </xf>
    <xf numFmtId="164" fontId="9" fillId="0" borderId="6" xfId="1" applyFont="1" applyBorder="1" applyAlignment="1"/>
    <xf numFmtId="164" fontId="9" fillId="2" borderId="6" xfId="1" applyFont="1" applyFill="1" applyBorder="1" applyAlignment="1">
      <alignment horizontal="center" vertical="top"/>
    </xf>
    <xf numFmtId="0" fontId="9" fillId="0" borderId="6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left" vertical="top" wrapText="1"/>
    </xf>
    <xf numFmtId="164" fontId="19" fillId="0" borderId="4" xfId="1" applyFont="1" applyFill="1" applyBorder="1"/>
    <xf numFmtId="164" fontId="9" fillId="0" borderId="6" xfId="1" applyFont="1" applyFill="1" applyBorder="1" applyAlignment="1">
      <alignment horizontal="left" indent="3"/>
    </xf>
    <xf numFmtId="164" fontId="9" fillId="0" borderId="6" xfId="1" applyFont="1" applyFill="1" applyBorder="1" applyAlignment="1">
      <alignment horizontal="center" wrapText="1"/>
    </xf>
    <xf numFmtId="164" fontId="20" fillId="0" borderId="4" xfId="1" applyFont="1" applyFill="1" applyBorder="1"/>
    <xf numFmtId="164" fontId="5" fillId="0" borderId="0" xfId="1" applyFont="1"/>
    <xf numFmtId="164" fontId="9" fillId="0" borderId="6" xfId="1" applyFont="1" applyFill="1" applyBorder="1" applyAlignment="1">
      <alignment horizontal="left" indent="5"/>
    </xf>
    <xf numFmtId="0" fontId="2" fillId="0" borderId="6" xfId="0" applyFont="1" applyFill="1" applyBorder="1" applyAlignment="1">
      <alignment horizontal="left" indent="6"/>
    </xf>
    <xf numFmtId="164" fontId="8" fillId="0" borderId="6" xfId="1" applyFont="1" applyFill="1" applyBorder="1" applyAlignment="1">
      <alignment horizontal="left" wrapText="1" indent="3"/>
    </xf>
    <xf numFmtId="164" fontId="24" fillId="0" borderId="0" xfId="1" applyFont="1"/>
    <xf numFmtId="164" fontId="20" fillId="0" borderId="6" xfId="1" applyFont="1" applyFill="1" applyBorder="1" applyAlignment="1">
      <alignment horizontal="left" indent="3"/>
    </xf>
    <xf numFmtId="164" fontId="20" fillId="0" borderId="6" xfId="1" applyFont="1" applyFill="1" applyBorder="1" applyAlignment="1">
      <alignment horizontal="left" indent="5"/>
    </xf>
    <xf numFmtId="164" fontId="9" fillId="0" borderId="6" xfId="1" applyFont="1" applyFill="1" applyBorder="1" applyAlignment="1">
      <alignment horizontal="left" vertical="top" wrapText="1" indent="5"/>
    </xf>
    <xf numFmtId="164" fontId="20" fillId="0" borderId="7" xfId="1" applyFont="1" applyFill="1" applyBorder="1"/>
    <xf numFmtId="164" fontId="19" fillId="0" borderId="7" xfId="1" applyFont="1" applyFill="1" applyBorder="1"/>
    <xf numFmtId="164" fontId="9" fillId="0" borderId="6" xfId="1" applyFont="1" applyBorder="1" applyAlignment="1">
      <alignment horizontal="center" wrapText="1"/>
    </xf>
    <xf numFmtId="43" fontId="8" fillId="2" borderId="6" xfId="0" applyNumberFormat="1" applyFont="1" applyFill="1" applyBorder="1"/>
    <xf numFmtId="0" fontId="2" fillId="0" borderId="6" xfId="0" applyFont="1" applyFill="1" applyBorder="1" applyAlignment="1">
      <alignment horizontal="left" indent="9"/>
    </xf>
    <xf numFmtId="164" fontId="9" fillId="0" borderId="6" xfId="1" applyFont="1" applyFill="1" applyBorder="1" applyAlignment="1">
      <alignment horizontal="left" indent="8"/>
    </xf>
    <xf numFmtId="0" fontId="9" fillId="0" borderId="6" xfId="0" applyFont="1" applyFill="1" applyBorder="1" applyAlignment="1">
      <alignment horizontal="left" vertical="center" wrapText="1" indent="3"/>
    </xf>
    <xf numFmtId="0" fontId="8" fillId="0" borderId="6" xfId="0" applyFont="1" applyFill="1" applyBorder="1" applyAlignment="1"/>
    <xf numFmtId="164" fontId="8" fillId="0" borderId="6" xfId="1" applyFont="1" applyFill="1" applyBorder="1" applyAlignment="1">
      <alignment horizontal="center" vertical="center"/>
    </xf>
    <xf numFmtId="164" fontId="8" fillId="0" borderId="0" xfId="1" applyFont="1"/>
    <xf numFmtId="0" fontId="9" fillId="0" borderId="6" xfId="0" applyFont="1" applyFill="1" applyBorder="1" applyAlignment="1">
      <alignment horizontal="left" vertical="center" indent="5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5" applyFont="1" applyFill="1" applyBorder="1" applyAlignment="1">
      <alignment horizontal="left" indent="1"/>
    </xf>
    <xf numFmtId="0" fontId="8" fillId="0" borderId="6" xfId="0" applyFont="1" applyFill="1" applyBorder="1" applyAlignment="1">
      <alignment horizontal="left" vertical="center" wrapText="1" indent="3"/>
    </xf>
    <xf numFmtId="0" fontId="9" fillId="0" borderId="6" xfId="0" applyFont="1" applyFill="1" applyBorder="1" applyAlignment="1">
      <alignment horizontal="left" vertical="center" wrapText="1" indent="5"/>
    </xf>
    <xf numFmtId="0" fontId="3" fillId="0" borderId="6" xfId="0" applyFont="1" applyFill="1" applyBorder="1" applyAlignment="1">
      <alignment horizontal="left"/>
    </xf>
    <xf numFmtId="43" fontId="9" fillId="2" borderId="0" xfId="7" applyFont="1" applyFill="1" applyBorder="1"/>
    <xf numFmtId="0" fontId="5" fillId="0" borderId="0" xfId="0" applyFont="1" applyAlignment="1">
      <alignment horizontal="left"/>
    </xf>
    <xf numFmtId="43" fontId="9" fillId="0" borderId="0" xfId="7" applyFont="1" applyBorder="1"/>
    <xf numFmtId="43" fontId="9" fillId="0" borderId="0" xfId="7" applyFont="1" applyFill="1" applyBorder="1"/>
    <xf numFmtId="164" fontId="9" fillId="0" borderId="6" xfId="1" applyFont="1" applyBorder="1" applyAlignment="1">
      <alignment horizontal="left" indent="1"/>
    </xf>
    <xf numFmtId="43" fontId="8" fillId="0" borderId="4" xfId="7" applyFont="1" applyFill="1" applyBorder="1"/>
    <xf numFmtId="0" fontId="9" fillId="0" borderId="6" xfId="5" applyFont="1" applyFill="1" applyBorder="1" applyAlignment="1">
      <alignment horizontal="left" indent="2"/>
    </xf>
    <xf numFmtId="0" fontId="9" fillId="0" borderId="6" xfId="0" applyFont="1" applyFill="1" applyBorder="1" applyAlignment="1">
      <alignment wrapText="1"/>
    </xf>
    <xf numFmtId="0" fontId="13" fillId="0" borderId="13" xfId="0" applyFont="1" applyBorder="1"/>
    <xf numFmtId="164" fontId="8" fillId="0" borderId="4" xfId="1" applyFont="1" applyBorder="1"/>
    <xf numFmtId="0" fontId="8" fillId="0" borderId="4" xfId="0" applyFont="1" applyBorder="1" applyAlignment="1">
      <alignment horizontal="left" indent="1"/>
    </xf>
    <xf numFmtId="0" fontId="13" fillId="0" borderId="4" xfId="0" applyFont="1" applyBorder="1"/>
    <xf numFmtId="164" fontId="8" fillId="0" borderId="7" xfId="1" applyFont="1" applyFill="1" applyBorder="1" applyAlignment="1">
      <alignment horizontal="center"/>
    </xf>
    <xf numFmtId="164" fontId="8" fillId="0" borderId="8" xfId="1" applyFont="1" applyFill="1" applyBorder="1" applyAlignment="1">
      <alignment horizontal="center"/>
    </xf>
    <xf numFmtId="164" fontId="3" fillId="0" borderId="6" xfId="1" applyFont="1" applyFill="1" applyBorder="1"/>
    <xf numFmtId="164" fontId="0" fillId="0" borderId="6" xfId="0" applyNumberFormat="1" applyFill="1" applyBorder="1"/>
    <xf numFmtId="164" fontId="9" fillId="0" borderId="6" xfId="1" applyFont="1" applyFill="1" applyBorder="1" applyAlignment="1">
      <alignment horizontal="left"/>
    </xf>
    <xf numFmtId="0" fontId="0" fillId="0" borderId="6" xfId="0" applyBorder="1" applyAlignment="1">
      <alignment horizontal="left"/>
    </xf>
    <xf numFmtId="164" fontId="0" fillId="0" borderId="6" xfId="1" applyFont="1" applyBorder="1" applyAlignment="1">
      <alignment horizontal="left"/>
    </xf>
    <xf numFmtId="0" fontId="0" fillId="0" borderId="0" xfId="0" applyAlignment="1">
      <alignment horizontal="left"/>
    </xf>
    <xf numFmtId="0" fontId="0" fillId="2" borderId="6" xfId="0" applyFill="1" applyBorder="1"/>
    <xf numFmtId="164" fontId="0" fillId="2" borderId="6" xfId="1" applyFont="1" applyFill="1" applyBorder="1"/>
    <xf numFmtId="164" fontId="2" fillId="2" borderId="6" xfId="1" applyFont="1" applyFill="1" applyBorder="1"/>
    <xf numFmtId="0" fontId="0" fillId="2" borderId="0" xfId="0" applyFill="1"/>
    <xf numFmtId="0" fontId="2" fillId="0" borderId="6" xfId="0" applyFont="1" applyFill="1" applyBorder="1" applyAlignment="1">
      <alignment horizontal="left" indent="4"/>
    </xf>
    <xf numFmtId="4" fontId="2" fillId="0" borderId="6" xfId="0" applyNumberFormat="1" applyFont="1" applyBorder="1"/>
    <xf numFmtId="164" fontId="8" fillId="0" borderId="9" xfId="1" applyFont="1" applyFill="1" applyBorder="1"/>
    <xf numFmtId="0" fontId="0" fillId="0" borderId="0" xfId="0" applyFill="1"/>
    <xf numFmtId="0" fontId="5" fillId="0" borderId="0" xfId="0" applyFont="1" applyFill="1"/>
    <xf numFmtId="0" fontId="11" fillId="0" borderId="0" xfId="0" applyFont="1" applyFill="1"/>
    <xf numFmtId="0" fontId="8" fillId="0" borderId="6" xfId="0" applyFont="1" applyFill="1" applyBorder="1" applyAlignment="1">
      <alignment horizontal="left"/>
    </xf>
    <xf numFmtId="0" fontId="9" fillId="0" borderId="6" xfId="5" applyFont="1" applyFill="1" applyBorder="1" applyAlignment="1">
      <alignment horizontal="left" indent="6"/>
    </xf>
    <xf numFmtId="0" fontId="2" fillId="2" borderId="6" xfId="0" applyFont="1" applyFill="1" applyBorder="1" applyAlignment="1">
      <alignment horizontal="left" indent="2"/>
    </xf>
    <xf numFmtId="0" fontId="3" fillId="0" borderId="6" xfId="0" applyFont="1" applyFill="1" applyBorder="1" applyAlignment="1">
      <alignment horizontal="left" wrapText="1"/>
    </xf>
    <xf numFmtId="164" fontId="8" fillId="0" borderId="7" xfId="1" applyFont="1" applyFill="1" applyBorder="1"/>
    <xf numFmtId="164" fontId="9" fillId="0" borderId="7" xfId="1" applyFont="1" applyFill="1" applyBorder="1" applyAlignment="1">
      <alignment horizontal="center"/>
    </xf>
    <xf numFmtId="164" fontId="8" fillId="0" borderId="10" xfId="1" applyFont="1" applyFill="1" applyBorder="1"/>
    <xf numFmtId="164" fontId="9" fillId="0" borderId="9" xfId="1" applyFont="1" applyFill="1" applyBorder="1"/>
    <xf numFmtId="0" fontId="3" fillId="0" borderId="6" xfId="0" applyFont="1" applyFill="1" applyBorder="1" applyAlignment="1">
      <alignment horizontal="left" wrapText="1" indent="3"/>
    </xf>
    <xf numFmtId="164" fontId="9" fillId="0" borderId="10" xfId="1" applyFont="1" applyFill="1" applyBorder="1" applyAlignment="1">
      <alignment horizontal="left" wrapText="1" indent="7"/>
    </xf>
    <xf numFmtId="164" fontId="9" fillId="0" borderId="10" xfId="1" applyFont="1" applyFill="1" applyBorder="1" applyAlignment="1">
      <alignment horizontal="center"/>
    </xf>
    <xf numFmtId="164" fontId="13" fillId="0" borderId="0" xfId="1" applyFont="1" applyBorder="1"/>
    <xf numFmtId="164" fontId="9" fillId="0" borderId="6" xfId="1" applyFont="1" applyFill="1" applyBorder="1" applyAlignment="1">
      <alignment horizontal="left" wrapText="1" indent="8"/>
    </xf>
    <xf numFmtId="164" fontId="0" fillId="0" borderId="0" xfId="1" applyFont="1" applyBorder="1"/>
    <xf numFmtId="0" fontId="9" fillId="0" borderId="6" xfId="0" applyFont="1" applyFill="1" applyBorder="1" applyAlignment="1">
      <alignment horizontal="left" indent="6"/>
    </xf>
    <xf numFmtId="0" fontId="24" fillId="0" borderId="4" xfId="0" applyFont="1" applyBorder="1"/>
    <xf numFmtId="164" fontId="24" fillId="0" borderId="4" xfId="0" applyNumberFormat="1" applyFont="1" applyBorder="1"/>
    <xf numFmtId="0" fontId="5" fillId="0" borderId="10" xfId="5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43" fontId="5" fillId="0" borderId="6" xfId="2" applyNumberFormat="1" applyFont="1" applyFill="1" applyBorder="1" applyAlignment="1">
      <alignment horizontal="center"/>
    </xf>
    <xf numFmtId="0" fontId="5" fillId="0" borderId="6" xfId="5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5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/>
    </xf>
    <xf numFmtId="164" fontId="9" fillId="0" borderId="6" xfId="1" applyFont="1" applyFill="1" applyBorder="1" applyAlignment="1">
      <alignment horizontal="center" vertical="center"/>
    </xf>
    <xf numFmtId="0" fontId="5" fillId="0" borderId="10" xfId="5" applyNumberFormat="1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left" vertical="center" wrapText="1" indent="6"/>
    </xf>
    <xf numFmtId="0" fontId="9" fillId="0" borderId="6" xfId="0" applyFont="1" applyFill="1" applyBorder="1" applyAlignment="1">
      <alignment horizontal="left" indent="7"/>
    </xf>
    <xf numFmtId="0" fontId="9" fillId="0" borderId="6" xfId="0" applyFont="1" applyFill="1" applyBorder="1" applyAlignment="1">
      <alignment horizontal="left" vertical="center" wrapText="1" indent="7"/>
    </xf>
    <xf numFmtId="0" fontId="9" fillId="0" borderId="6" xfId="0" applyFont="1" applyFill="1" applyBorder="1" applyAlignment="1">
      <alignment horizontal="left" wrapText="1" indent="2"/>
    </xf>
    <xf numFmtId="0" fontId="9" fillId="0" borderId="6" xfId="0" applyFont="1" applyFill="1" applyBorder="1" applyAlignment="1">
      <alignment horizontal="left" wrapText="1" indent="4"/>
    </xf>
    <xf numFmtId="164" fontId="2" fillId="0" borderId="6" xfId="13" applyFont="1" applyFill="1" applyBorder="1"/>
    <xf numFmtId="43" fontId="2" fillId="0" borderId="6" xfId="7" applyFont="1" applyFill="1" applyBorder="1" applyAlignment="1">
      <alignment horizontal="left" vertical="center"/>
    </xf>
    <xf numFmtId="164" fontId="2" fillId="0" borderId="6" xfId="13" applyFont="1" applyFill="1" applyBorder="1" applyAlignment="1">
      <alignment vertical="center"/>
    </xf>
    <xf numFmtId="43" fontId="2" fillId="0" borderId="6" xfId="5" applyNumberFormat="1" applyFont="1" applyFill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/>
    </xf>
    <xf numFmtId="164" fontId="9" fillId="0" borderId="6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indent="7"/>
    </xf>
    <xf numFmtId="0" fontId="2" fillId="0" borderId="6" xfId="0" applyFont="1" applyFill="1" applyBorder="1" applyAlignment="1">
      <alignment horizontal="left" indent="15"/>
    </xf>
    <xf numFmtId="164" fontId="2" fillId="0" borderId="6" xfId="1" applyFont="1" applyFill="1" applyBorder="1" applyAlignment="1">
      <alignment horizontal="left" indent="4"/>
    </xf>
    <xf numFmtId="164" fontId="2" fillId="0" borderId="6" xfId="1" applyFont="1" applyFill="1" applyBorder="1" applyAlignment="1">
      <alignment horizontal="left" indent="2"/>
    </xf>
    <xf numFmtId="0" fontId="9" fillId="0" borderId="6" xfId="5" applyNumberFormat="1" applyFont="1" applyFill="1" applyBorder="1" applyAlignment="1">
      <alignment horizontal="left" wrapText="1" indent="2"/>
    </xf>
    <xf numFmtId="164" fontId="9" fillId="0" borderId="6" xfId="1" applyFont="1" applyFill="1" applyBorder="1" applyAlignment="1">
      <alignment horizontal="left" indent="2"/>
    </xf>
    <xf numFmtId="0" fontId="2" fillId="0" borderId="6" xfId="0" applyFont="1" applyFill="1" applyBorder="1" applyAlignment="1">
      <alignment horizontal="left" wrapText="1" indent="4"/>
    </xf>
    <xf numFmtId="164" fontId="9" fillId="0" borderId="6" xfId="1" applyFont="1" applyBorder="1" applyAlignment="1">
      <alignment horizontal="center" vertical="center"/>
    </xf>
    <xf numFmtId="0" fontId="18" fillId="0" borderId="0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4" fillId="0" borderId="7" xfId="0" applyFont="1" applyBorder="1"/>
    <xf numFmtId="0" fontId="2" fillId="0" borderId="7" xfId="0" applyFont="1" applyBorder="1" applyAlignment="1"/>
    <xf numFmtId="4" fontId="9" fillId="0" borderId="7" xfId="1" applyNumberFormat="1" applyFont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0" fontId="24" fillId="0" borderId="7" xfId="0" applyFont="1" applyBorder="1"/>
    <xf numFmtId="0" fontId="27" fillId="0" borderId="0" xfId="0" applyFont="1"/>
    <xf numFmtId="0" fontId="18" fillId="0" borderId="13" xfId="0" applyFont="1" applyBorder="1"/>
    <xf numFmtId="0" fontId="5" fillId="0" borderId="10" xfId="5" applyNumberFormat="1" applyFont="1" applyBorder="1" applyAlignment="1">
      <alignment horizontal="center" wrapText="1"/>
    </xf>
    <xf numFmtId="43" fontId="11" fillId="0" borderId="0" xfId="7" applyFont="1"/>
    <xf numFmtId="0" fontId="5" fillId="0" borderId="6" xfId="5" applyFont="1" applyBorder="1" applyAlignment="1">
      <alignment horizontal="left" indent="2"/>
    </xf>
    <xf numFmtId="0" fontId="5" fillId="0" borderId="6" xfId="5" applyNumberFormat="1" applyFont="1" applyBorder="1" applyAlignment="1">
      <alignment horizontal="center" wrapText="1"/>
    </xf>
    <xf numFmtId="43" fontId="11" fillId="0" borderId="6" xfId="7" applyFont="1" applyBorder="1"/>
    <xf numFmtId="0" fontId="9" fillId="0" borderId="6" xfId="2" applyFont="1" applyBorder="1" applyAlignment="1">
      <alignment horizontal="left" indent="5"/>
    </xf>
    <xf numFmtId="164" fontId="13" fillId="0" borderId="13" xfId="1" applyFont="1" applyBorder="1"/>
    <xf numFmtId="43" fontId="13" fillId="0" borderId="6" xfId="0" applyNumberFormat="1" applyFont="1" applyBorder="1"/>
    <xf numFmtId="43" fontId="8" fillId="0" borderId="0" xfId="7" applyFont="1" applyFill="1" applyBorder="1"/>
    <xf numFmtId="164" fontId="8" fillId="0" borderId="0" xfId="1" applyFont="1" applyFill="1" applyBorder="1"/>
    <xf numFmtId="164" fontId="8" fillId="0" borderId="6" xfId="1" applyFont="1" applyBorder="1" applyAlignment="1">
      <alignment horizontal="left" indent="2"/>
    </xf>
    <xf numFmtId="164" fontId="9" fillId="2" borderId="6" xfId="1" applyFont="1" applyFill="1" applyBorder="1" applyAlignment="1">
      <alignment horizontal="left" indent="2"/>
    </xf>
    <xf numFmtId="0" fontId="9" fillId="0" borderId="6" xfId="5" applyFont="1" applyBorder="1" applyAlignment="1">
      <alignment horizontal="left" indent="2"/>
    </xf>
    <xf numFmtId="0" fontId="5" fillId="0" borderId="10" xfId="5" applyFont="1" applyBorder="1" applyAlignment="1">
      <alignment horizontal="center" wrapText="1"/>
    </xf>
    <xf numFmtId="0" fontId="9" fillId="0" borderId="7" xfId="2" applyFont="1" applyFill="1" applyBorder="1" applyAlignment="1"/>
    <xf numFmtId="0" fontId="9" fillId="0" borderId="7" xfId="2" applyFont="1" applyFill="1" applyBorder="1" applyAlignment="1">
      <alignment horizontal="center"/>
    </xf>
    <xf numFmtId="164" fontId="13" fillId="0" borderId="7" xfId="1" applyFont="1" applyBorder="1"/>
    <xf numFmtId="0" fontId="2" fillId="0" borderId="6" xfId="0" applyFont="1" applyBorder="1" applyAlignment="1">
      <alignment horizontal="left" indent="2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7" xfId="1" applyFont="1" applyBorder="1" applyAlignment="1">
      <alignment horizontal="center"/>
    </xf>
    <xf numFmtId="164" fontId="3" fillId="0" borderId="0" xfId="1" applyFont="1" applyBorder="1" applyAlignment="1"/>
    <xf numFmtId="164" fontId="3" fillId="0" borderId="0" xfId="1" applyFont="1" applyBorder="1"/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1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0" fontId="3" fillId="0" borderId="6" xfId="2" applyFont="1" applyBorder="1"/>
    <xf numFmtId="0" fontId="2" fillId="0" borderId="6" xfId="2" applyFont="1" applyBorder="1"/>
    <xf numFmtId="43" fontId="2" fillId="0" borderId="6" xfId="10" applyFont="1" applyBorder="1"/>
    <xf numFmtId="164" fontId="0" fillId="0" borderId="6" xfId="0" applyNumberFormat="1" applyFont="1" applyBorder="1"/>
    <xf numFmtId="0" fontId="2" fillId="0" borderId="6" xfId="2" applyFont="1" applyBorder="1" applyAlignment="1">
      <alignment horizontal="center"/>
    </xf>
    <xf numFmtId="0" fontId="2" fillId="0" borderId="6" xfId="5" applyFont="1" applyBorder="1" applyAlignment="1">
      <alignment horizontal="center"/>
    </xf>
    <xf numFmtId="43" fontId="3" fillId="0" borderId="6" xfId="2" applyNumberFormat="1" applyFont="1" applyBorder="1"/>
    <xf numFmtId="43" fontId="3" fillId="0" borderId="6" xfId="10" applyFont="1" applyBorder="1"/>
    <xf numFmtId="0" fontId="2" fillId="0" borderId="6" xfId="2" applyFont="1" applyBorder="1" applyAlignment="1"/>
    <xf numFmtId="0" fontId="2" fillId="0" borderId="6" xfId="2" applyFont="1" applyBorder="1" applyAlignment="1">
      <alignment horizontal="left" indent="3"/>
    </xf>
    <xf numFmtId="164" fontId="3" fillId="0" borderId="6" xfId="2" applyNumberFormat="1" applyFont="1" applyFill="1" applyBorder="1"/>
    <xf numFmtId="0" fontId="3" fillId="0" borderId="6" xfId="2" applyFont="1" applyBorder="1" applyAlignment="1"/>
    <xf numFmtId="43" fontId="3" fillId="0" borderId="6" xfId="10" applyFont="1" applyFill="1" applyBorder="1"/>
    <xf numFmtId="43" fontId="2" fillId="0" borderId="6" xfId="2" applyNumberFormat="1" applyFont="1" applyBorder="1"/>
    <xf numFmtId="0" fontId="3" fillId="0" borderId="4" xfId="2" applyFont="1" applyBorder="1"/>
    <xf numFmtId="164" fontId="3" fillId="0" borderId="4" xfId="1" applyFont="1" applyBorder="1"/>
    <xf numFmtId="43" fontId="2" fillId="0" borderId="0" xfId="6" applyFont="1" applyBorder="1" applyAlignment="1">
      <alignment horizontal="center"/>
    </xf>
    <xf numFmtId="43" fontId="2" fillId="2" borderId="0" xfId="7" applyNumberFormat="1" applyFont="1" applyFill="1" applyBorder="1"/>
    <xf numFmtId="0" fontId="26" fillId="0" borderId="0" xfId="0" applyFont="1"/>
    <xf numFmtId="0" fontId="3" fillId="0" borderId="0" xfId="8" applyFont="1" applyFill="1" applyBorder="1" applyAlignment="1">
      <alignment horizontal="center"/>
    </xf>
    <xf numFmtId="43" fontId="3" fillId="2" borderId="0" xfId="7" applyFont="1" applyFill="1" applyBorder="1"/>
    <xf numFmtId="0" fontId="29" fillId="0" borderId="0" xfId="0" applyFont="1" applyAlignment="1">
      <alignment horizontal="left"/>
    </xf>
    <xf numFmtId="0" fontId="2" fillId="0" borderId="0" xfId="8" applyFont="1" applyFill="1" applyBorder="1" applyAlignment="1">
      <alignment horizontal="center"/>
    </xf>
    <xf numFmtId="43" fontId="3" fillId="0" borderId="0" xfId="7" applyFont="1" applyBorder="1"/>
    <xf numFmtId="0" fontId="29" fillId="0" borderId="0" xfId="0" applyFont="1"/>
    <xf numFmtId="164" fontId="9" fillId="0" borderId="10" xfId="1" applyFont="1" applyBorder="1" applyAlignment="1">
      <alignment horizontal="left" indent="2"/>
    </xf>
    <xf numFmtId="0" fontId="8" fillId="0" borderId="6" xfId="2" applyFont="1" applyFill="1" applyBorder="1" applyAlignment="1">
      <alignment horizontal="left" indent="1"/>
    </xf>
    <xf numFmtId="0" fontId="9" fillId="0" borderId="6" xfId="2" applyFont="1" applyBorder="1" applyAlignment="1">
      <alignment horizontal="left" wrapText="1" indent="4"/>
    </xf>
    <xf numFmtId="0" fontId="12" fillId="0" borderId="6" xfId="2" applyFont="1" applyBorder="1" applyAlignment="1">
      <alignment horizontal="left" indent="4"/>
    </xf>
    <xf numFmtId="164" fontId="9" fillId="0" borderId="6" xfId="1" applyFont="1" applyBorder="1" applyAlignment="1">
      <alignment vertical="center"/>
    </xf>
    <xf numFmtId="0" fontId="5" fillId="0" borderId="6" xfId="2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6" xfId="5" applyFont="1" applyBorder="1" applyAlignment="1">
      <alignment horizontal="center"/>
    </xf>
    <xf numFmtId="164" fontId="5" fillId="0" borderId="17" xfId="1" applyFont="1" applyBorder="1" applyAlignment="1">
      <alignment horizontal="left" indent="1"/>
    </xf>
    <xf numFmtId="0" fontId="5" fillId="0" borderId="17" xfId="2" applyFont="1" applyBorder="1" applyAlignment="1">
      <alignment horizontal="left" indent="4"/>
    </xf>
    <xf numFmtId="0" fontId="2" fillId="0" borderId="6" xfId="2" applyFont="1" applyBorder="1" applyAlignment="1">
      <alignment horizontal="left" indent="2"/>
    </xf>
    <xf numFmtId="0" fontId="3" fillId="0" borderId="6" xfId="2" applyFont="1" applyBorder="1" applyAlignment="1">
      <alignment horizontal="center"/>
    </xf>
    <xf numFmtId="43" fontId="3" fillId="0" borderId="0" xfId="10" applyFont="1" applyFill="1" applyBorder="1"/>
    <xf numFmtId="0" fontId="0" fillId="0" borderId="0" xfId="0" applyFont="1" applyBorder="1"/>
    <xf numFmtId="164" fontId="8" fillId="0" borderId="6" xfId="1" applyFont="1" applyBorder="1" applyAlignment="1">
      <alignment horizontal="left" indent="1"/>
    </xf>
    <xf numFmtId="0" fontId="8" fillId="0" borderId="7" xfId="5" applyFont="1" applyBorder="1"/>
    <xf numFmtId="43" fontId="8" fillId="0" borderId="7" xfId="7" applyFont="1" applyBorder="1" applyAlignment="1">
      <alignment horizontal="center"/>
    </xf>
    <xf numFmtId="43" fontId="8" fillId="0" borderId="7" xfId="7" applyFont="1" applyFill="1" applyBorder="1"/>
    <xf numFmtId="0" fontId="9" fillId="0" borderId="7" xfId="5" applyFont="1" applyBorder="1" applyAlignment="1">
      <alignment horizontal="left" indent="5"/>
    </xf>
    <xf numFmtId="43" fontId="9" fillId="0" borderId="7" xfId="7" applyFont="1" applyBorder="1" applyAlignment="1">
      <alignment horizontal="center"/>
    </xf>
    <xf numFmtId="0" fontId="9" fillId="0" borderId="7" xfId="5" applyFont="1" applyBorder="1" applyAlignment="1">
      <alignment horizontal="left" wrapText="1" indent="5"/>
    </xf>
    <xf numFmtId="0" fontId="9" fillId="2" borderId="6" xfId="0" applyFont="1" applyFill="1" applyBorder="1" applyAlignment="1">
      <alignment horizontal="left" indent="2"/>
    </xf>
    <xf numFmtId="164" fontId="3" fillId="0" borderId="7" xfId="1" applyFont="1" applyBorder="1" applyAlignment="1"/>
    <xf numFmtId="0" fontId="3" fillId="0" borderId="6" xfId="5" applyFont="1" applyBorder="1"/>
    <xf numFmtId="0" fontId="2" fillId="0" borderId="6" xfId="5" applyFont="1" applyBorder="1" applyAlignment="1">
      <alignment horizontal="center" wrapText="1"/>
    </xf>
    <xf numFmtId="43" fontId="2" fillId="0" borderId="6" xfId="6" applyFont="1" applyFill="1" applyBorder="1"/>
    <xf numFmtId="43" fontId="2" fillId="0" borderId="6" xfId="6" applyFont="1" applyBorder="1"/>
    <xf numFmtId="0" fontId="3" fillId="0" borderId="6" xfId="5" applyFont="1" applyBorder="1" applyAlignment="1">
      <alignment vertical="center"/>
    </xf>
    <xf numFmtId="43" fontId="2" fillId="0" borderId="6" xfId="5" applyNumberFormat="1" applyFont="1" applyBorder="1" applyAlignment="1">
      <alignment vertical="center" wrapText="1"/>
    </xf>
    <xf numFmtId="43" fontId="3" fillId="0" borderId="6" xfId="6" applyFont="1" applyFill="1" applyBorder="1" applyAlignment="1">
      <alignment vertical="center"/>
    </xf>
    <xf numFmtId="43" fontId="2" fillId="0" borderId="6" xfId="5" applyNumberFormat="1" applyFont="1" applyBorder="1" applyAlignment="1">
      <alignment wrapText="1"/>
    </xf>
    <xf numFmtId="0" fontId="2" fillId="0" borderId="6" xfId="5" applyFont="1" applyBorder="1" applyAlignment="1">
      <alignment horizontal="left" indent="3"/>
    </xf>
    <xf numFmtId="43" fontId="3" fillId="0" borderId="6" xfId="5" applyNumberFormat="1" applyFont="1" applyBorder="1" applyAlignment="1">
      <alignment vertical="center" wrapText="1"/>
    </xf>
    <xf numFmtId="0" fontId="2" fillId="0" borderId="6" xfId="5" applyNumberFormat="1" applyFont="1" applyBorder="1" applyAlignment="1">
      <alignment horizontal="center" wrapText="1"/>
    </xf>
    <xf numFmtId="43" fontId="3" fillId="0" borderId="6" xfId="6" applyFont="1" applyBorder="1"/>
    <xf numFmtId="0" fontId="2" fillId="0" borderId="6" xfId="5" applyFont="1" applyBorder="1" applyAlignment="1"/>
    <xf numFmtId="0" fontId="3" fillId="0" borderId="6" xfId="5" applyFont="1" applyBorder="1" applyAlignment="1">
      <alignment vertical="center" wrapText="1"/>
    </xf>
    <xf numFmtId="0" fontId="3" fillId="0" borderId="4" xfId="5" applyFont="1" applyBorder="1" applyAlignment="1">
      <alignment vertical="center"/>
    </xf>
    <xf numFmtId="0" fontId="3" fillId="0" borderId="4" xfId="5" applyFont="1" applyBorder="1" applyAlignment="1">
      <alignment vertical="center" wrapText="1"/>
    </xf>
    <xf numFmtId="43" fontId="3" fillId="0" borderId="4" xfId="6" applyFont="1" applyBorder="1" applyAlignment="1">
      <alignment vertical="center"/>
    </xf>
    <xf numFmtId="164" fontId="9" fillId="2" borderId="6" xfId="1" applyFont="1" applyFill="1" applyBorder="1" applyAlignment="1">
      <alignment horizontal="left" indent="4"/>
    </xf>
    <xf numFmtId="0" fontId="29" fillId="0" borderId="6" xfId="2" applyFont="1" applyFill="1" applyBorder="1"/>
    <xf numFmtId="43" fontId="26" fillId="0" borderId="6" xfId="7" applyFont="1" applyFill="1" applyBorder="1" applyAlignment="1">
      <alignment horizontal="left"/>
    </xf>
    <xf numFmtId="43" fontId="26" fillId="0" borderId="6" xfId="7" applyFont="1" applyFill="1" applyBorder="1" applyAlignment="1">
      <alignment horizontal="left" indent="2"/>
    </xf>
    <xf numFmtId="43" fontId="29" fillId="0" borderId="6" xfId="7" applyFont="1" applyFill="1" applyBorder="1" applyAlignment="1">
      <alignment horizontal="left"/>
    </xf>
    <xf numFmtId="43" fontId="2" fillId="0" borderId="5" xfId="7" applyFont="1" applyFill="1" applyBorder="1"/>
    <xf numFmtId="0" fontId="2" fillId="0" borderId="6" xfId="2" applyFont="1" applyFill="1" applyBorder="1" applyAlignment="1">
      <alignment horizontal="center"/>
    </xf>
    <xf numFmtId="0" fontId="2" fillId="0" borderId="6" xfId="11" applyFont="1" applyFill="1" applyBorder="1" applyAlignment="1">
      <alignment horizontal="center"/>
    </xf>
    <xf numFmtId="43" fontId="29" fillId="0" borderId="6" xfId="7" applyFont="1" applyFill="1" applyBorder="1" applyAlignment="1">
      <alignment horizontal="left" indent="2"/>
    </xf>
    <xf numFmtId="43" fontId="26" fillId="0" borderId="6" xfId="7" applyFont="1" applyFill="1" applyBorder="1" applyAlignment="1">
      <alignment horizontal="left" indent="4"/>
    </xf>
    <xf numFmtId="0" fontId="26" fillId="0" borderId="6" xfId="2" applyFont="1" applyFill="1" applyBorder="1" applyAlignment="1">
      <alignment horizontal="center"/>
    </xf>
    <xf numFmtId="43" fontId="3" fillId="0" borderId="6" xfId="12" applyFont="1" applyBorder="1"/>
    <xf numFmtId="164" fontId="2" fillId="0" borderId="6" xfId="1" applyFont="1" applyFill="1" applyBorder="1" applyAlignment="1">
      <alignment horizontal="right"/>
    </xf>
    <xf numFmtId="164" fontId="2" fillId="0" borderId="6" xfId="1" applyFont="1" applyBorder="1" applyAlignment="1">
      <alignment horizontal="left" indent="2"/>
    </xf>
    <xf numFmtId="0" fontId="2" fillId="0" borderId="6" xfId="2" applyNumberFormat="1" applyFont="1" applyBorder="1" applyAlignment="1">
      <alignment horizontal="center"/>
    </xf>
    <xf numFmtId="164" fontId="3" fillId="0" borderId="4" xfId="1" applyFont="1" applyFill="1" applyBorder="1"/>
    <xf numFmtId="0" fontId="3" fillId="0" borderId="6" xfId="2" applyFont="1" applyBorder="1" applyAlignment="1">
      <alignment horizontal="left"/>
    </xf>
    <xf numFmtId="0" fontId="29" fillId="0" borderId="6" xfId="2" applyFont="1" applyFill="1" applyBorder="1" applyAlignment="1"/>
    <xf numFmtId="164" fontId="26" fillId="0" borderId="6" xfId="1" applyFont="1" applyBorder="1" applyAlignment="1">
      <alignment horizontal="left" indent="2"/>
    </xf>
    <xf numFmtId="0" fontId="26" fillId="0" borderId="6" xfId="2" applyFont="1" applyBorder="1" applyAlignment="1">
      <alignment horizontal="center"/>
    </xf>
    <xf numFmtId="164" fontId="29" fillId="0" borderId="6" xfId="1" applyFont="1" applyBorder="1" applyAlignment="1">
      <alignment horizontal="left"/>
    </xf>
    <xf numFmtId="0" fontId="26" fillId="2" borderId="6" xfId="0" applyFont="1" applyFill="1" applyBorder="1" applyAlignment="1">
      <alignment horizontal="center"/>
    </xf>
    <xf numFmtId="0" fontId="26" fillId="0" borderId="6" xfId="5" applyFont="1" applyBorder="1" applyAlignment="1">
      <alignment horizontal="center"/>
    </xf>
    <xf numFmtId="164" fontId="29" fillId="0" borderId="6" xfId="1" applyFont="1" applyBorder="1" applyAlignment="1">
      <alignment horizontal="left" indent="2"/>
    </xf>
    <xf numFmtId="164" fontId="26" fillId="0" borderId="6" xfId="1" applyFont="1" applyBorder="1" applyAlignment="1">
      <alignment horizontal="left" indent="4"/>
    </xf>
    <xf numFmtId="164" fontId="26" fillId="2" borderId="6" xfId="1" applyFont="1" applyFill="1" applyBorder="1" applyAlignment="1">
      <alignment horizontal="left" indent="2"/>
    </xf>
    <xf numFmtId="43" fontId="3" fillId="0" borderId="6" xfId="7" applyFont="1" applyBorder="1"/>
    <xf numFmtId="0" fontId="3" fillId="0" borderId="6" xfId="2" applyFont="1" applyFill="1" applyBorder="1" applyAlignment="1"/>
    <xf numFmtId="43" fontId="2" fillId="0" borderId="6" xfId="7" applyFont="1" applyBorder="1"/>
    <xf numFmtId="0" fontId="2" fillId="2" borderId="6" xfId="0" applyFont="1" applyFill="1" applyBorder="1" applyAlignment="1">
      <alignment horizontal="left" indent="4"/>
    </xf>
    <xf numFmtId="0" fontId="2" fillId="0" borderId="6" xfId="2" applyFont="1" applyBorder="1" applyAlignment="1">
      <alignment horizontal="left" indent="4"/>
    </xf>
    <xf numFmtId="43" fontId="3" fillId="0" borderId="4" xfId="7" applyFont="1" applyBorder="1"/>
    <xf numFmtId="164" fontId="2" fillId="0" borderId="6" xfId="1" applyFont="1" applyFill="1" applyBorder="1" applyAlignment="1">
      <alignment horizontal="left" indent="6"/>
    </xf>
    <xf numFmtId="0" fontId="2" fillId="0" borderId="6" xfId="8" applyNumberFormat="1" applyFont="1" applyFill="1" applyBorder="1" applyAlignment="1">
      <alignment vertical="center"/>
    </xf>
    <xf numFmtId="164" fontId="3" fillId="0" borderId="6" xfId="1" applyFont="1" applyBorder="1" applyAlignment="1">
      <alignment horizontal="left" indent="1"/>
    </xf>
    <xf numFmtId="164" fontId="2" fillId="0" borderId="6" xfId="1" applyFont="1" applyBorder="1" applyAlignment="1">
      <alignment horizontal="left" indent="4"/>
    </xf>
    <xf numFmtId="164" fontId="2" fillId="2" borderId="6" xfId="1" applyFont="1" applyFill="1" applyBorder="1" applyAlignment="1">
      <alignment horizontal="left" indent="4"/>
    </xf>
    <xf numFmtId="164" fontId="3" fillId="0" borderId="6" xfId="1" applyFont="1" applyBorder="1" applyAlignment="1">
      <alignment horizontal="left" indent="2"/>
    </xf>
    <xf numFmtId="164" fontId="2" fillId="2" borderId="6" xfId="1" applyFont="1" applyFill="1" applyBorder="1" applyAlignment="1">
      <alignment horizontal="left" indent="2"/>
    </xf>
    <xf numFmtId="0" fontId="2" fillId="0" borderId="6" xfId="8" applyFont="1" applyFill="1" applyBorder="1" applyAlignment="1">
      <alignment horizontal="left" indent="3"/>
    </xf>
    <xf numFmtId="0" fontId="2" fillId="0" borderId="6" xfId="8" applyFont="1" applyFill="1" applyBorder="1" applyAlignment="1">
      <alignment horizontal="center" vertical="center"/>
    </xf>
    <xf numFmtId="43" fontId="3" fillId="0" borderId="6" xfId="7" applyFont="1" applyFill="1" applyBorder="1" applyAlignment="1">
      <alignment vertical="center"/>
    </xf>
    <xf numFmtId="164" fontId="3" fillId="0" borderId="6" xfId="1" applyFont="1" applyFill="1" applyBorder="1" applyAlignment="1">
      <alignment vertical="center"/>
    </xf>
    <xf numFmtId="0" fontId="3" fillId="0" borderId="6" xfId="2" applyFont="1" applyFill="1" applyBorder="1"/>
    <xf numFmtId="43" fontId="2" fillId="0" borderId="6" xfId="7" applyFont="1" applyFill="1" applyBorder="1" applyAlignment="1">
      <alignment horizontal="left" indent="2"/>
    </xf>
    <xf numFmtId="43" fontId="2" fillId="0" borderId="6" xfId="7" applyFont="1" applyFill="1" applyBorder="1" applyAlignment="1">
      <alignment horizontal="left" indent="4"/>
    </xf>
    <xf numFmtId="43" fontId="2" fillId="0" borderId="6" xfId="7" quotePrefix="1" applyFont="1" applyFill="1" applyBorder="1" applyAlignment="1">
      <alignment horizontal="left" indent="4"/>
    </xf>
    <xf numFmtId="43" fontId="3" fillId="0" borderId="6" xfId="0" applyNumberFormat="1" applyFont="1" applyBorder="1"/>
    <xf numFmtId="0" fontId="2" fillId="0" borderId="6" xfId="11" applyFont="1" applyFill="1" applyBorder="1" applyAlignment="1">
      <alignment horizontal="center" wrapText="1"/>
    </xf>
    <xf numFmtId="164" fontId="2" fillId="0" borderId="6" xfId="1" quotePrefix="1" applyFont="1" applyFill="1" applyBorder="1" applyAlignment="1">
      <alignment horizontal="left" indent="4"/>
    </xf>
    <xf numFmtId="164" fontId="2" fillId="0" borderId="6" xfId="1" applyFont="1" applyFill="1" applyBorder="1" applyAlignment="1">
      <alignment horizontal="left" wrapText="1" indent="4"/>
    </xf>
    <xf numFmtId="164" fontId="2" fillId="0" borderId="6" xfId="1" applyFont="1" applyFill="1" applyBorder="1" applyAlignment="1">
      <alignment horizontal="left" wrapText="1" indent="2"/>
    </xf>
    <xf numFmtId="164" fontId="2" fillId="0" borderId="6" xfId="1" quotePrefix="1" applyFont="1" applyFill="1" applyBorder="1" applyAlignment="1">
      <alignment horizontal="left" wrapText="1" indent="14"/>
    </xf>
    <xf numFmtId="0" fontId="2" fillId="0" borderId="6" xfId="8" applyFont="1" applyFill="1" applyBorder="1" applyAlignment="1">
      <alignment vertical="center"/>
    </xf>
    <xf numFmtId="165" fontId="2" fillId="0" borderId="6" xfId="8" applyNumberFormat="1" applyFont="1" applyFill="1" applyBorder="1" applyAlignment="1">
      <alignment horizontal="center" vertical="center"/>
    </xf>
    <xf numFmtId="43" fontId="3" fillId="0" borderId="7" xfId="7" applyFont="1" applyFill="1" applyBorder="1" applyAlignment="1">
      <alignment vertical="center"/>
    </xf>
    <xf numFmtId="0" fontId="3" fillId="0" borderId="0" xfId="8" applyFont="1" applyFill="1" applyBorder="1"/>
    <xf numFmtId="43" fontId="3" fillId="0" borderId="0" xfId="7" applyFont="1" applyFill="1" applyBorder="1" applyAlignment="1">
      <alignment vertical="center"/>
    </xf>
    <xf numFmtId="164" fontId="3" fillId="0" borderId="0" xfId="1" applyFont="1" applyFill="1" applyBorder="1" applyAlignment="1">
      <alignment vertical="center"/>
    </xf>
    <xf numFmtId="43" fontId="2" fillId="0" borderId="0" xfId="7" applyFont="1" applyFill="1" applyBorder="1" applyAlignment="1">
      <alignment vertical="center"/>
    </xf>
    <xf numFmtId="4" fontId="3" fillId="0" borderId="6" xfId="8" applyNumberFormat="1" applyFont="1" applyFill="1" applyBorder="1"/>
    <xf numFmtId="4" fontId="2" fillId="2" borderId="6" xfId="5" applyNumberFormat="1" applyFont="1" applyFill="1" applyBorder="1"/>
    <xf numFmtId="165" fontId="5" fillId="0" borderId="10" xfId="8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43" fontId="3" fillId="0" borderId="6" xfId="7" applyFont="1" applyFill="1" applyBorder="1" applyAlignment="1">
      <alignment wrapText="1"/>
    </xf>
    <xf numFmtId="43" fontId="2" fillId="0" borderId="6" xfId="7" applyFont="1" applyFill="1" applyBorder="1" applyAlignment="1">
      <alignment horizontal="left" indent="1"/>
    </xf>
    <xf numFmtId="43" fontId="3" fillId="0" borderId="6" xfId="7" applyFont="1" applyFill="1" applyBorder="1" applyAlignment="1">
      <alignment horizontal="left" indent="2"/>
    </xf>
    <xf numFmtId="164" fontId="15" fillId="0" borderId="6" xfId="1" applyFont="1" applyFill="1" applyBorder="1" applyAlignment="1">
      <alignment horizontal="left" vertical="center" wrapText="1" indent="4"/>
    </xf>
    <xf numFmtId="164" fontId="15" fillId="0" borderId="6" xfId="1" applyFont="1" applyFill="1" applyBorder="1" applyAlignment="1">
      <alignment horizontal="left" wrapText="1" indent="4"/>
    </xf>
    <xf numFmtId="164" fontId="15" fillId="0" borderId="6" xfId="1" applyFont="1" applyFill="1" applyBorder="1" applyAlignment="1">
      <alignment horizontal="left" indent="4"/>
    </xf>
    <xf numFmtId="164" fontId="3" fillId="0" borderId="6" xfId="1" quotePrefix="1" applyFont="1" applyFill="1" applyBorder="1" applyAlignment="1">
      <alignment horizontal="left" indent="2"/>
    </xf>
    <xf numFmtId="43" fontId="3" fillId="0" borderId="6" xfId="7" applyFont="1" applyFill="1" applyBorder="1" applyAlignment="1"/>
    <xf numFmtId="43" fontId="2" fillId="0" borderId="6" xfId="7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164" fontId="2" fillId="0" borderId="6" xfId="1" applyFont="1" applyFill="1" applyBorder="1" applyAlignment="1">
      <alignment horizontal="center" wrapText="1"/>
    </xf>
    <xf numFmtId="43" fontId="2" fillId="0" borderId="6" xfId="7" applyFont="1" applyFill="1" applyBorder="1" applyAlignment="1">
      <alignment horizontal="center" vertical="center" wrapText="1"/>
    </xf>
    <xf numFmtId="164" fontId="2" fillId="0" borderId="6" xfId="1" quotePrefix="1" applyFont="1" applyFill="1" applyBorder="1" applyAlignment="1">
      <alignment horizontal="center"/>
    </xf>
    <xf numFmtId="43" fontId="8" fillId="2" borderId="6" xfId="7" applyFont="1" applyFill="1" applyBorder="1"/>
    <xf numFmtId="4" fontId="8" fillId="0" borderId="4" xfId="8" applyNumberFormat="1" applyFont="1" applyFill="1" applyBorder="1"/>
    <xf numFmtId="0" fontId="8" fillId="2" borderId="4" xfId="5" applyFont="1" applyFill="1" applyBorder="1"/>
    <xf numFmtId="43" fontId="8" fillId="0" borderId="4" xfId="0" applyNumberFormat="1" applyFont="1" applyBorder="1"/>
    <xf numFmtId="0" fontId="8" fillId="2" borderId="0" xfId="5" applyFont="1" applyFill="1" applyBorder="1"/>
    <xf numFmtId="164" fontId="13" fillId="0" borderId="0" xfId="0" applyNumberFormat="1" applyFont="1"/>
    <xf numFmtId="0" fontId="9" fillId="0" borderId="6" xfId="8" applyFont="1" applyFill="1" applyBorder="1" applyAlignment="1">
      <alignment horizontal="left" wrapText="1" indent="2"/>
    </xf>
    <xf numFmtId="0" fontId="9" fillId="0" borderId="6" xfId="8" applyFont="1" applyFill="1" applyBorder="1" applyAlignment="1">
      <alignment horizontal="left" vertical="center" indent="4"/>
    </xf>
    <xf numFmtId="0" fontId="9" fillId="0" borderId="6" xfId="8" applyFont="1" applyFill="1" applyBorder="1" applyAlignment="1">
      <alignment horizontal="left" wrapText="1" indent="4"/>
    </xf>
    <xf numFmtId="0" fontId="9" fillId="0" borderId="6" xfId="8" applyFont="1" applyFill="1" applyBorder="1" applyAlignment="1">
      <alignment horizontal="left" indent="4"/>
    </xf>
    <xf numFmtId="0" fontId="5" fillId="0" borderId="6" xfId="2" applyFont="1" applyBorder="1" applyAlignment="1">
      <alignment horizontal="left" indent="2"/>
    </xf>
    <xf numFmtId="0" fontId="5" fillId="0" borderId="6" xfId="2" applyFont="1" applyBorder="1" applyAlignment="1">
      <alignment horizontal="left" indent="4"/>
    </xf>
    <xf numFmtId="0" fontId="13" fillId="0" borderId="12" xfId="0" applyFont="1" applyBorder="1"/>
    <xf numFmtId="164" fontId="9" fillId="0" borderId="12" xfId="1" applyFont="1" applyBorder="1"/>
    <xf numFmtId="0" fontId="10" fillId="0" borderId="4" xfId="0" applyFont="1" applyFill="1" applyBorder="1"/>
    <xf numFmtId="164" fontId="8" fillId="0" borderId="6" xfId="1" applyFont="1" applyFill="1" applyBorder="1" applyAlignment="1">
      <alignment horizontal="left" indent="2"/>
    </xf>
    <xf numFmtId="0" fontId="8" fillId="2" borderId="6" xfId="5" applyFont="1" applyFill="1" applyBorder="1"/>
    <xf numFmtId="43" fontId="8" fillId="2" borderId="6" xfId="5" applyNumberFormat="1" applyFont="1" applyFill="1" applyBorder="1"/>
    <xf numFmtId="43" fontId="9" fillId="2" borderId="6" xfId="5" applyNumberFormat="1" applyFont="1" applyFill="1" applyBorder="1"/>
    <xf numFmtId="43" fontId="8" fillId="2" borderId="4" xfId="7" applyFont="1" applyFill="1" applyBorder="1"/>
    <xf numFmtId="4" fontId="8" fillId="2" borderId="4" xfId="5" applyNumberFormat="1" applyFont="1" applyFill="1" applyBorder="1"/>
    <xf numFmtId="0" fontId="3" fillId="2" borderId="6" xfId="5" applyFont="1" applyFill="1" applyBorder="1" applyAlignment="1"/>
    <xf numFmtId="0" fontId="2" fillId="2" borderId="6" xfId="5" applyFont="1" applyFill="1" applyBorder="1" applyAlignment="1">
      <alignment horizontal="left" indent="4"/>
    </xf>
    <xf numFmtId="0" fontId="2" fillId="2" borderId="6" xfId="5" applyFont="1" applyFill="1" applyBorder="1" applyAlignment="1">
      <alignment horizontal="center"/>
    </xf>
    <xf numFmtId="0" fontId="9" fillId="2" borderId="6" xfId="0" applyFont="1" applyFill="1" applyBorder="1" applyAlignment="1">
      <alignment horizontal="left" indent="4"/>
    </xf>
    <xf numFmtId="49" fontId="9" fillId="2" borderId="6" xfId="0" applyNumberFormat="1" applyFont="1" applyFill="1" applyBorder="1" applyAlignment="1">
      <alignment horizontal="left" indent="4"/>
    </xf>
    <xf numFmtId="49" fontId="9" fillId="2" borderId="6" xfId="0" applyNumberFormat="1" applyFont="1" applyFill="1" applyBorder="1" applyAlignment="1">
      <alignment horizontal="left" wrapText="1" indent="4"/>
    </xf>
    <xf numFmtId="0" fontId="8" fillId="0" borderId="6" xfId="2" applyFont="1" applyBorder="1" applyAlignment="1">
      <alignment horizontal="left" indent="2"/>
    </xf>
    <xf numFmtId="0" fontId="24" fillId="0" borderId="13" xfId="0" applyFont="1" applyBorder="1"/>
    <xf numFmtId="0" fontId="20" fillId="0" borderId="6" xfId="0" applyFont="1" applyFill="1" applyBorder="1" applyAlignment="1">
      <alignment horizontal="center"/>
    </xf>
    <xf numFmtId="164" fontId="8" fillId="0" borderId="6" xfId="1" applyFont="1" applyFill="1" applyBorder="1" applyAlignment="1">
      <alignment horizontal="left"/>
    </xf>
    <xf numFmtId="0" fontId="9" fillId="0" borderId="6" xfId="14" applyFont="1" applyFill="1" applyBorder="1" applyAlignment="1">
      <alignment horizontal="left" indent="2"/>
    </xf>
    <xf numFmtId="0" fontId="9" fillId="0" borderId="6" xfId="14" applyFont="1" applyFill="1" applyBorder="1" applyAlignment="1">
      <alignment horizontal="center"/>
    </xf>
    <xf numFmtId="164" fontId="23" fillId="0" borderId="13" xfId="1" applyFont="1" applyBorder="1"/>
    <xf numFmtId="43" fontId="8" fillId="0" borderId="6" xfId="4" applyNumberFormat="1" applyFont="1" applyBorder="1"/>
    <xf numFmtId="43" fontId="8" fillId="0" borderId="4" xfId="4" applyNumberFormat="1" applyFont="1" applyBorder="1"/>
    <xf numFmtId="164" fontId="23" fillId="0" borderId="0" xfId="1" applyFont="1"/>
    <xf numFmtId="0" fontId="9" fillId="0" borderId="6" xfId="8" applyFont="1" applyFill="1" applyBorder="1" applyAlignment="1">
      <alignment horizontal="left" vertical="center" wrapText="1" indent="4"/>
    </xf>
    <xf numFmtId="0" fontId="9" fillId="0" borderId="6" xfId="0" quotePrefix="1" applyFont="1" applyFill="1" applyBorder="1" applyAlignment="1">
      <alignment horizontal="left" wrapText="1" indent="4"/>
    </xf>
    <xf numFmtId="0" fontId="9" fillId="0" borderId="6" xfId="8" quotePrefix="1" applyFont="1" applyFill="1" applyBorder="1" applyAlignment="1">
      <alignment horizontal="left" vertical="center" wrapText="1" indent="4"/>
    </xf>
    <xf numFmtId="0" fontId="9" fillId="0" borderId="6" xfId="8" applyFont="1" applyFill="1" applyBorder="1" applyAlignment="1">
      <alignment horizontal="center" vertical="center"/>
    </xf>
    <xf numFmtId="16" fontId="9" fillId="0" borderId="6" xfId="8" applyNumberFormat="1" applyFont="1" applyFill="1" applyBorder="1" applyAlignment="1">
      <alignment horizontal="center"/>
    </xf>
    <xf numFmtId="43" fontId="9" fillId="0" borderId="6" xfId="7" applyNumberFormat="1" applyFont="1" applyFill="1" applyBorder="1" applyAlignment="1">
      <alignment vertical="center"/>
    </xf>
    <xf numFmtId="43" fontId="8" fillId="0" borderId="6" xfId="7" applyNumberFormat="1" applyFont="1" applyFill="1" applyBorder="1"/>
    <xf numFmtId="43" fontId="19" fillId="2" borderId="4" xfId="7" applyNumberFormat="1" applyFont="1" applyFill="1" applyBorder="1"/>
    <xf numFmtId="0" fontId="8" fillId="0" borderId="0" xfId="0" applyFont="1" applyBorder="1" applyAlignment="1">
      <alignment horizontal="center"/>
    </xf>
    <xf numFmtId="0" fontId="9" fillId="2" borderId="0" xfId="8" applyFont="1" applyFill="1" applyBorder="1"/>
    <xf numFmtId="0" fontId="2" fillId="0" borderId="2" xfId="0" applyFont="1" applyFill="1" applyBorder="1"/>
    <xf numFmtId="164" fontId="2" fillId="0" borderId="2" xfId="1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164" fontId="2" fillId="0" borderId="6" xfId="1" applyFont="1" applyBorder="1"/>
    <xf numFmtId="164" fontId="9" fillId="0" borderId="6" xfId="1" applyFont="1" applyFill="1" applyBorder="1"/>
    <xf numFmtId="164" fontId="2" fillId="0" borderId="6" xfId="1" applyFont="1" applyFill="1" applyBorder="1"/>
    <xf numFmtId="0" fontId="8" fillId="0" borderId="8" xfId="0" applyFont="1" applyBorder="1" applyAlignment="1">
      <alignment horizontal="center"/>
    </xf>
    <xf numFmtId="164" fontId="8" fillId="0" borderId="8" xfId="1" applyFont="1" applyBorder="1" applyAlignment="1">
      <alignment horizontal="center"/>
    </xf>
    <xf numFmtId="164" fontId="8" fillId="0" borderId="9" xfId="1" applyFont="1" applyBorder="1" applyAlignment="1">
      <alignment horizontal="center"/>
    </xf>
    <xf numFmtId="164" fontId="3" fillId="0" borderId="6" xfId="1" applyFont="1" applyBorder="1"/>
    <xf numFmtId="164" fontId="8" fillId="0" borderId="6" xfId="1" applyFont="1" applyFill="1" applyBorder="1"/>
    <xf numFmtId="0" fontId="8" fillId="0" borderId="9" xfId="0" applyFont="1" applyBorder="1" applyAlignment="1">
      <alignment horizontal="center"/>
    </xf>
    <xf numFmtId="164" fontId="0" fillId="0" borderId="6" xfId="1" applyFont="1" applyBorder="1"/>
    <xf numFmtId="0" fontId="2" fillId="0" borderId="6" xfId="0" applyFont="1" applyFill="1" applyBorder="1" applyAlignment="1"/>
    <xf numFmtId="0" fontId="9" fillId="0" borderId="6" xfId="8" applyFont="1" applyFill="1" applyBorder="1"/>
    <xf numFmtId="0" fontId="9" fillId="0" borderId="6" xfId="8" applyFont="1" applyFill="1" applyBorder="1" applyAlignment="1">
      <alignment horizontal="center"/>
    </xf>
    <xf numFmtId="164" fontId="9" fillId="2" borderId="6" xfId="1" applyFont="1" applyFill="1" applyBorder="1"/>
    <xf numFmtId="0" fontId="8" fillId="0" borderId="6" xfId="8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8" fillId="0" borderId="12" xfId="1" applyFont="1" applyBorder="1" applyAlignment="1">
      <alignment horizontal="center"/>
    </xf>
    <xf numFmtId="164" fontId="8" fillId="0" borderId="12" xfId="1" applyFont="1" applyBorder="1" applyAlignment="1"/>
    <xf numFmtId="164" fontId="8" fillId="0" borderId="12" xfId="1" applyFont="1" applyBorder="1"/>
    <xf numFmtId="0" fontId="9" fillId="2" borderId="6" xfId="8" applyFont="1" applyFill="1" applyBorder="1" applyAlignment="1">
      <alignment horizontal="center"/>
    </xf>
    <xf numFmtId="0" fontId="9" fillId="2" borderId="6" xfId="8" applyFont="1" applyFill="1" applyBorder="1"/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64" fontId="8" fillId="0" borderId="13" xfId="1" applyFont="1" applyBorder="1" applyAlignment="1">
      <alignment horizontal="center"/>
    </xf>
    <xf numFmtId="0" fontId="8" fillId="0" borderId="7" xfId="8" applyFont="1" applyFill="1" applyBorder="1" applyAlignment="1">
      <alignment horizontal="center"/>
    </xf>
    <xf numFmtId="0" fontId="3" fillId="0" borderId="6" xfId="0" applyFont="1" applyFill="1" applyBorder="1" applyAlignment="1">
      <alignment horizontal="left" indent="3"/>
    </xf>
    <xf numFmtId="0" fontId="2" fillId="0" borderId="6" xfId="0" applyFont="1" applyFill="1" applyBorder="1" applyAlignment="1">
      <alignment wrapText="1"/>
    </xf>
    <xf numFmtId="164" fontId="4" fillId="2" borderId="7" xfId="1" applyFont="1" applyFill="1" applyBorder="1"/>
    <xf numFmtId="164" fontId="9" fillId="2" borderId="7" xfId="1" applyFont="1" applyFill="1" applyBorder="1"/>
    <xf numFmtId="164" fontId="9" fillId="0" borderId="7" xfId="1" applyFont="1" applyFill="1" applyBorder="1"/>
    <xf numFmtId="164" fontId="0" fillId="2" borderId="6" xfId="1" applyFont="1" applyFill="1" applyBorder="1"/>
    <xf numFmtId="164" fontId="13" fillId="0" borderId="6" xfId="1" applyFont="1" applyBorder="1"/>
    <xf numFmtId="0" fontId="8" fillId="2" borderId="4" xfId="8" applyFont="1" applyFill="1" applyBorder="1" applyAlignment="1">
      <alignment wrapText="1"/>
    </xf>
    <xf numFmtId="0" fontId="9" fillId="0" borderId="4" xfId="8" applyFont="1" applyFill="1" applyBorder="1" applyAlignment="1">
      <alignment horizontal="center"/>
    </xf>
    <xf numFmtId="0" fontId="8" fillId="0" borderId="0" xfId="0" applyFont="1" applyFill="1" applyAlignment="1">
      <alignment horizontal="left" indent="3"/>
    </xf>
    <xf numFmtId="0" fontId="8" fillId="0" borderId="6" xfId="0" applyFont="1" applyFill="1" applyBorder="1" applyAlignment="1">
      <alignment horizontal="left" indent="3"/>
    </xf>
    <xf numFmtId="164" fontId="19" fillId="2" borderId="4" xfId="1" applyFont="1" applyFill="1" applyBorder="1"/>
    <xf numFmtId="164" fontId="8" fillId="2" borderId="7" xfId="1" applyFont="1" applyFill="1" applyBorder="1"/>
    <xf numFmtId="164" fontId="8" fillId="0" borderId="7" xfId="1" applyFont="1" applyFill="1" applyBorder="1" applyAlignment="1">
      <alignment horizontal="center"/>
    </xf>
    <xf numFmtId="0" fontId="2" fillId="2" borderId="6" xfId="0" applyFont="1" applyFill="1" applyBorder="1" applyAlignment="1"/>
    <xf numFmtId="164" fontId="8" fillId="0" borderId="0" xfId="1" applyFont="1" applyFill="1" applyAlignment="1">
      <alignment horizontal="left" indent="3"/>
    </xf>
    <xf numFmtId="0" fontId="3" fillId="6" borderId="6" xfId="0" applyFont="1" applyFill="1" applyBorder="1"/>
    <xf numFmtId="0" fontId="2" fillId="0" borderId="6" xfId="0" applyFont="1" applyBorder="1" applyAlignment="1">
      <alignment wrapText="1"/>
    </xf>
    <xf numFmtId="0" fontId="3" fillId="4" borderId="6" xfId="0" applyFont="1" applyFill="1" applyBorder="1"/>
    <xf numFmtId="164" fontId="0" fillId="0" borderId="0" xfId="1" applyFont="1"/>
    <xf numFmtId="0" fontId="9" fillId="0" borderId="0" xfId="5" applyNumberFormat="1" applyFont="1" applyBorder="1" applyAlignment="1">
      <alignment horizontal="center" wrapText="1"/>
    </xf>
    <xf numFmtId="0" fontId="9" fillId="0" borderId="0" xfId="8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3" fillId="0" borderId="0" xfId="0" applyFont="1"/>
    <xf numFmtId="0" fontId="8" fillId="0" borderId="0" xfId="8" applyFont="1" applyFill="1" applyBorder="1" applyAlignment="1">
      <alignment horizontal="center"/>
    </xf>
    <xf numFmtId="0" fontId="9" fillId="2" borderId="0" xfId="8" applyFont="1" applyFill="1" applyBorder="1" applyAlignment="1">
      <alignment wrapText="1"/>
    </xf>
    <xf numFmtId="0" fontId="18" fillId="0" borderId="0" xfId="0" applyFont="1"/>
    <xf numFmtId="164" fontId="9" fillId="0" borderId="6" xfId="1" applyFont="1" applyBorder="1"/>
    <xf numFmtId="0" fontId="2" fillId="0" borderId="6" xfId="0" applyFont="1" applyBorder="1"/>
    <xf numFmtId="164" fontId="2" fillId="0" borderId="6" xfId="1" applyFont="1" applyBorder="1"/>
    <xf numFmtId="0" fontId="0" fillId="0" borderId="6" xfId="0" applyBorder="1"/>
    <xf numFmtId="164" fontId="9" fillId="0" borderId="6" xfId="1" applyFont="1" applyFill="1" applyBorder="1"/>
    <xf numFmtId="0" fontId="8" fillId="0" borderId="8" xfId="0" applyFont="1" applyBorder="1" applyAlignment="1">
      <alignment horizontal="center"/>
    </xf>
    <xf numFmtId="164" fontId="8" fillId="0" borderId="8" xfId="1" applyFont="1" applyBorder="1" applyAlignment="1">
      <alignment horizontal="center"/>
    </xf>
    <xf numFmtId="164" fontId="8" fillId="0" borderId="9" xfId="1" applyFont="1" applyBorder="1" applyAlignment="1">
      <alignment horizontal="center"/>
    </xf>
    <xf numFmtId="164" fontId="8" fillId="0" borderId="10" xfId="1" applyFont="1" applyBorder="1" applyAlignment="1">
      <alignment horizontal="center"/>
    </xf>
    <xf numFmtId="164" fontId="3" fillId="0" borderId="6" xfId="1" applyFont="1" applyBorder="1"/>
    <xf numFmtId="164" fontId="8" fillId="0" borderId="6" xfId="1" applyFont="1" applyFill="1" applyBorder="1"/>
    <xf numFmtId="0" fontId="18" fillId="0" borderId="6" xfId="0" applyFont="1" applyBorder="1"/>
    <xf numFmtId="164" fontId="9" fillId="0" borderId="8" xfId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8" fillId="0" borderId="6" xfId="1" applyFont="1" applyBorder="1"/>
    <xf numFmtId="164" fontId="9" fillId="0" borderId="6" xfId="1" applyFont="1" applyFill="1" applyBorder="1" applyAlignment="1">
      <alignment horizontal="center"/>
    </xf>
    <xf numFmtId="0" fontId="0" fillId="0" borderId="0" xfId="0" applyBorder="1"/>
    <xf numFmtId="0" fontId="9" fillId="2" borderId="6" xfId="0" applyFont="1" applyFill="1" applyBorder="1" applyAlignment="1">
      <alignment horizontal="center"/>
    </xf>
    <xf numFmtId="0" fontId="13" fillId="0" borderId="6" xfId="0" applyFont="1" applyBorder="1"/>
    <xf numFmtId="0" fontId="8" fillId="0" borderId="6" xfId="8" applyFont="1" applyFill="1" applyBorder="1" applyAlignment="1">
      <alignment horizontal="center"/>
    </xf>
    <xf numFmtId="164" fontId="8" fillId="0" borderId="12" xfId="1" applyFont="1" applyBorder="1" applyAlignment="1">
      <alignment horizontal="center"/>
    </xf>
    <xf numFmtId="164" fontId="8" fillId="0" borderId="12" xfId="1" applyFont="1" applyBorder="1"/>
    <xf numFmtId="0" fontId="8" fillId="0" borderId="13" xfId="0" applyFont="1" applyBorder="1" applyAlignment="1">
      <alignment horizontal="center"/>
    </xf>
    <xf numFmtId="164" fontId="8" fillId="0" borderId="13" xfId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/>
    <xf numFmtId="0" fontId="11" fillId="0" borderId="0" xfId="0" applyFont="1"/>
    <xf numFmtId="0" fontId="24" fillId="0" borderId="0" xfId="0" applyFont="1"/>
    <xf numFmtId="164" fontId="0" fillId="2" borderId="6" xfId="1" applyFont="1" applyFill="1" applyBorder="1"/>
    <xf numFmtId="0" fontId="13" fillId="0" borderId="0" xfId="0" applyFont="1" applyBorder="1"/>
    <xf numFmtId="164" fontId="8" fillId="0" borderId="0" xfId="1" applyFont="1" applyFill="1" applyBorder="1"/>
    <xf numFmtId="164" fontId="19" fillId="2" borderId="4" xfId="1" applyFont="1" applyFill="1" applyBorder="1"/>
    <xf numFmtId="164" fontId="9" fillId="2" borderId="0" xfId="1" applyFont="1" applyFill="1" applyBorder="1"/>
    <xf numFmtId="164" fontId="8" fillId="2" borderId="0" xfId="1" applyFont="1" applyFill="1" applyBorder="1"/>
    <xf numFmtId="164" fontId="8" fillId="2" borderId="9" xfId="1" applyFont="1" applyFill="1" applyBorder="1" applyAlignment="1">
      <alignment horizontal="center"/>
    </xf>
    <xf numFmtId="164" fontId="8" fillId="2" borderId="7" xfId="1" applyFont="1" applyFill="1" applyBorder="1"/>
    <xf numFmtId="164" fontId="8" fillId="0" borderId="0" xfId="1" applyFont="1" applyFill="1" applyAlignment="1">
      <alignment horizontal="left" indent="3"/>
    </xf>
    <xf numFmtId="164" fontId="8" fillId="2" borderId="12" xfId="1" applyFont="1" applyFill="1" applyBorder="1" applyAlignment="1">
      <alignment horizontal="center"/>
    </xf>
    <xf numFmtId="164" fontId="8" fillId="2" borderId="13" xfId="1" applyFont="1" applyFill="1" applyBorder="1" applyAlignment="1">
      <alignment horizontal="center"/>
    </xf>
    <xf numFmtId="164" fontId="8" fillId="2" borderId="8" xfId="1" applyFont="1" applyFill="1" applyBorder="1" applyAlignment="1">
      <alignment horizontal="center"/>
    </xf>
    <xf numFmtId="0" fontId="13" fillId="2" borderId="0" xfId="0" applyFont="1" applyFill="1" applyBorder="1"/>
    <xf numFmtId="0" fontId="0" fillId="2" borderId="0" xfId="0" applyFill="1" applyBorder="1"/>
    <xf numFmtId="164" fontId="13" fillId="0" borderId="0" xfId="1" applyFont="1" applyBorder="1"/>
    <xf numFmtId="0" fontId="24" fillId="2" borderId="0" xfId="0" applyFont="1" applyFill="1" applyBorder="1"/>
    <xf numFmtId="0" fontId="24" fillId="0" borderId="0" xfId="0" applyFont="1" applyBorder="1"/>
    <xf numFmtId="164" fontId="0" fillId="2" borderId="0" xfId="0" applyNumberFormat="1" applyFill="1" applyBorder="1"/>
    <xf numFmtId="164" fontId="13" fillId="2" borderId="0" xfId="1" applyFont="1" applyFill="1" applyBorder="1"/>
    <xf numFmtId="164" fontId="13" fillId="2" borderId="0" xfId="0" applyNumberFormat="1" applyFont="1" applyFill="1" applyBorder="1"/>
    <xf numFmtId="43" fontId="31" fillId="2" borderId="6" xfId="49" applyFont="1" applyFill="1" applyBorder="1"/>
    <xf numFmtId="164" fontId="15" fillId="0" borderId="6" xfId="48" applyFont="1" applyBorder="1"/>
    <xf numFmtId="164" fontId="9" fillId="0" borderId="6" xfId="48" applyFont="1" applyFill="1" applyBorder="1" applyAlignment="1"/>
    <xf numFmtId="164" fontId="14" fillId="0" borderId="6" xfId="48" applyFont="1" applyBorder="1" applyAlignment="1">
      <alignment horizontal="left" indent="2"/>
    </xf>
    <xf numFmtId="164" fontId="1" fillId="0" borderId="6" xfId="48" applyFont="1" applyBorder="1" applyAlignment="1">
      <alignment horizontal="left" indent="2"/>
    </xf>
    <xf numFmtId="164" fontId="2" fillId="0" borderId="6" xfId="48" applyFont="1" applyBorder="1" applyAlignment="1"/>
    <xf numFmtId="164" fontId="14" fillId="0" borderId="6" xfId="48" applyFont="1" applyBorder="1"/>
    <xf numFmtId="164" fontId="9" fillId="0" borderId="6" xfId="48" applyFont="1" applyFill="1" applyBorder="1"/>
    <xf numFmtId="164" fontId="9" fillId="0" borderId="6" xfId="48" applyFont="1" applyFill="1" applyBorder="1" applyAlignment="1">
      <alignment horizontal="left" indent="1"/>
    </xf>
    <xf numFmtId="0" fontId="15" fillId="0" borderId="6" xfId="0" applyFont="1" applyBorder="1"/>
    <xf numFmtId="43" fontId="0" fillId="0" borderId="6" xfId="49" applyFont="1" applyBorder="1"/>
    <xf numFmtId="0" fontId="8" fillId="0" borderId="6" xfId="32" applyFont="1" applyBorder="1" applyAlignment="1">
      <alignment horizontal="center"/>
    </xf>
    <xf numFmtId="164" fontId="12" fillId="0" borderId="6" xfId="48" applyFont="1" applyBorder="1" applyAlignment="1"/>
    <xf numFmtId="164" fontId="9" fillId="0" borderId="6" xfId="48" applyFont="1" applyFill="1" applyBorder="1" applyAlignment="1">
      <alignment horizontal="left" indent="3"/>
    </xf>
    <xf numFmtId="164" fontId="9" fillId="0" borderId="6" xfId="48" applyFont="1" applyFill="1" applyBorder="1" applyProtection="1">
      <protection locked="0"/>
    </xf>
    <xf numFmtId="164" fontId="9" fillId="0" borderId="6" xfId="48" applyFont="1" applyFill="1" applyBorder="1" applyAlignment="1">
      <alignment horizontal="center"/>
    </xf>
    <xf numFmtId="164" fontId="9" fillId="0" borderId="6" xfId="48" applyFont="1" applyBorder="1" applyAlignment="1">
      <alignment horizontal="center" wrapText="1"/>
    </xf>
    <xf numFmtId="164" fontId="9" fillId="0" borderId="6" xfId="48" applyFont="1" applyBorder="1" applyAlignment="1">
      <alignment horizontal="center"/>
    </xf>
    <xf numFmtId="43" fontId="8" fillId="0" borderId="6" xfId="7" applyFont="1" applyFill="1" applyBorder="1" applyAlignment="1">
      <alignment horizontal="center"/>
    </xf>
    <xf numFmtId="0" fontId="24" fillId="0" borderId="6" xfId="5" applyFont="1" applyFill="1" applyBorder="1"/>
    <xf numFmtId="0" fontId="13" fillId="0" borderId="6" xfId="5" applyFont="1" applyFill="1" applyBorder="1"/>
    <xf numFmtId="164" fontId="24" fillId="0" borderId="6" xfId="1" applyFont="1" applyFill="1" applyBorder="1"/>
    <xf numFmtId="0" fontId="24" fillId="0" borderId="4" xfId="5" applyFont="1" applyFill="1" applyBorder="1"/>
    <xf numFmtId="0" fontId="13" fillId="0" borderId="4" xfId="5" applyFont="1" applyFill="1" applyBorder="1"/>
    <xf numFmtId="164" fontId="24" fillId="0" borderId="4" xfId="1" applyFont="1" applyFill="1" applyBorder="1"/>
    <xf numFmtId="164" fontId="9" fillId="0" borderId="6" xfId="1" applyFont="1" applyBorder="1" applyAlignment="1">
      <alignment horizontal="left"/>
    </xf>
    <xf numFmtId="0" fontId="2" fillId="0" borderId="6" xfId="0" applyFont="1" applyFill="1" applyBorder="1" applyAlignment="1">
      <alignment horizontal="left" indent="5"/>
    </xf>
    <xf numFmtId="0" fontId="0" fillId="0" borderId="0" xfId="0"/>
    <xf numFmtId="43" fontId="0" fillId="2" borderId="6" xfId="49" applyFont="1" applyFill="1" applyBorder="1"/>
    <xf numFmtId="43" fontId="0" fillId="0" borderId="0" xfId="49" applyFont="1"/>
    <xf numFmtId="0" fontId="8" fillId="0" borderId="6" xfId="8" applyFont="1" applyFill="1" applyBorder="1" applyAlignment="1"/>
    <xf numFmtId="0" fontId="9" fillId="0" borderId="6" xfId="8" applyFont="1" applyFill="1" applyBorder="1" applyAlignment="1">
      <alignment horizontal="left" indent="5"/>
    </xf>
    <xf numFmtId="164" fontId="9" fillId="0" borderId="6" xfId="1" applyFont="1" applyFill="1" applyBorder="1" applyAlignment="1">
      <alignment horizontal="left" vertical="center" wrapText="1" indent="4"/>
    </xf>
    <xf numFmtId="164" fontId="8" fillId="0" borderId="6" xfId="1" applyFont="1" applyFill="1" applyBorder="1" applyAlignment="1">
      <alignment horizontal="left" indent="4"/>
    </xf>
    <xf numFmtId="164" fontId="9" fillId="0" borderId="6" xfId="1" applyFont="1" applyFill="1" applyBorder="1" applyAlignment="1">
      <alignment horizontal="left" wrapText="1" indent="4"/>
    </xf>
    <xf numFmtId="164" fontId="8" fillId="0" borderId="6" xfId="1" applyFont="1" applyFill="1" applyBorder="1" applyAlignment="1">
      <alignment horizontal="left" wrapText="1" indent="4"/>
    </xf>
    <xf numFmtId="0" fontId="8" fillId="0" borderId="6" xfId="8" applyFont="1" applyFill="1" applyBorder="1" applyAlignment="1">
      <alignment horizontal="left" indent="4"/>
    </xf>
    <xf numFmtId="0" fontId="8" fillId="0" borderId="6" xfId="8" quotePrefix="1" applyFont="1" applyFill="1" applyBorder="1" applyAlignment="1">
      <alignment horizontal="left" indent="4"/>
    </xf>
    <xf numFmtId="0" fontId="9" fillId="0" borderId="6" xfId="8" quotePrefix="1" applyFont="1" applyFill="1" applyBorder="1" applyAlignment="1">
      <alignment horizontal="left" indent="4"/>
    </xf>
    <xf numFmtId="164" fontId="9" fillId="0" borderId="6" xfId="1" quotePrefix="1" applyFont="1" applyFill="1" applyBorder="1" applyAlignment="1">
      <alignment horizontal="left" indent="5"/>
    </xf>
    <xf numFmtId="0" fontId="8" fillId="0" borderId="6" xfId="0" applyFont="1" applyFill="1" applyBorder="1" applyAlignment="1">
      <alignment vertical="center" wrapText="1"/>
    </xf>
    <xf numFmtId="164" fontId="9" fillId="2" borderId="6" xfId="48" applyFont="1" applyFill="1" applyBorder="1"/>
    <xf numFmtId="164" fontId="2" fillId="2" borderId="6" xfId="48" applyFont="1" applyFill="1" applyBorder="1"/>
    <xf numFmtId="164" fontId="9" fillId="0" borderId="13" xfId="1" applyFont="1" applyBorder="1"/>
    <xf numFmtId="0" fontId="8" fillId="0" borderId="6" xfId="0" applyFont="1" applyFill="1" applyBorder="1" applyAlignment="1">
      <alignment horizontal="center"/>
    </xf>
    <xf numFmtId="4" fontId="9" fillId="0" borderId="6" xfId="2" applyNumberFormat="1" applyFont="1" applyFill="1" applyBorder="1"/>
    <xf numFmtId="0" fontId="8" fillId="0" borderId="6" xfId="2" applyFont="1" applyFill="1" applyBorder="1" applyAlignment="1"/>
    <xf numFmtId="0" fontId="9" fillId="0" borderId="6" xfId="2" applyFont="1" applyFill="1" applyBorder="1"/>
    <xf numFmtId="164" fontId="0" fillId="0" borderId="6" xfId="0" applyNumberFormat="1" applyBorder="1"/>
    <xf numFmtId="0" fontId="9" fillId="0" borderId="6" xfId="0" applyFont="1" applyFill="1" applyBorder="1"/>
    <xf numFmtId="0" fontId="5" fillId="0" borderId="6" xfId="5" applyFont="1" applyBorder="1" applyAlignment="1">
      <alignment horizontal="left" indent="4"/>
    </xf>
    <xf numFmtId="0" fontId="8" fillId="0" borderId="6" xfId="8" applyFont="1" applyFill="1" applyBorder="1"/>
    <xf numFmtId="0" fontId="8" fillId="0" borderId="6" xfId="5" applyNumberFormat="1" applyFont="1" applyFill="1" applyBorder="1" applyAlignment="1">
      <alignment horizontal="center"/>
    </xf>
    <xf numFmtId="0" fontId="13" fillId="0" borderId="6" xfId="0" applyFont="1" applyBorder="1"/>
    <xf numFmtId="0" fontId="8" fillId="0" borderId="7" xfId="5" applyFont="1" applyFill="1" applyBorder="1"/>
    <xf numFmtId="0" fontId="2" fillId="0" borderId="6" xfId="0" applyFont="1" applyFill="1" applyBorder="1"/>
    <xf numFmtId="0" fontId="8" fillId="0" borderId="6" xfId="8" applyFont="1" applyFill="1" applyBorder="1"/>
    <xf numFmtId="0" fontId="2" fillId="0" borderId="6" xfId="0" applyFont="1" applyFill="1" applyBorder="1" applyAlignment="1">
      <alignment horizontal="center"/>
    </xf>
    <xf numFmtId="164" fontId="9" fillId="0" borderId="6" xfId="48" applyFont="1" applyFill="1" applyBorder="1" applyAlignment="1">
      <alignment vertical="top" wrapText="1"/>
    </xf>
    <xf numFmtId="164" fontId="2" fillId="0" borderId="6" xfId="48" applyFont="1" applyFill="1" applyBorder="1" applyAlignment="1">
      <alignment vertical="top" wrapText="1"/>
    </xf>
    <xf numFmtId="164" fontId="8" fillId="0" borderId="6" xfId="48" applyFont="1" applyFill="1" applyBorder="1" applyAlignment="1"/>
    <xf numFmtId="164" fontId="2" fillId="0" borderId="6" xfId="48" applyFont="1" applyFill="1" applyBorder="1" applyAlignment="1">
      <alignment vertical="top" wrapText="1"/>
    </xf>
    <xf numFmtId="164" fontId="9" fillId="0" borderId="6" xfId="48" applyFont="1" applyFill="1" applyBorder="1" applyAlignment="1"/>
    <xf numFmtId="0" fontId="8" fillId="0" borderId="6" xfId="5" applyFont="1" applyFill="1" applyBorder="1"/>
    <xf numFmtId="0" fontId="9" fillId="0" borderId="6" xfId="5" applyFont="1" applyFill="1" applyBorder="1" applyAlignment="1"/>
    <xf numFmtId="164" fontId="8" fillId="0" borderId="6" xfId="48" applyFont="1" applyFill="1" applyBorder="1" applyAlignment="1">
      <alignment horizontal="left"/>
    </xf>
    <xf numFmtId="164" fontId="9" fillId="0" borderId="6" xfId="48" applyFont="1" applyFill="1" applyBorder="1" applyAlignment="1">
      <alignment horizontal="left" indent="4"/>
    </xf>
    <xf numFmtId="164" fontId="9" fillId="0" borderId="6" xfId="48" applyFont="1" applyFill="1" applyBorder="1" applyAlignment="1">
      <alignment horizontal="left" indent="5"/>
    </xf>
    <xf numFmtId="164" fontId="8" fillId="0" borderId="6" xfId="48" applyFont="1" applyFill="1" applyBorder="1" applyAlignment="1">
      <alignment horizontal="left"/>
    </xf>
    <xf numFmtId="0" fontId="8" fillId="0" borderId="6" xfId="5" applyFont="1" applyFill="1" applyBorder="1"/>
    <xf numFmtId="164" fontId="13" fillId="0" borderId="6" xfId="0" applyNumberFormat="1" applyFont="1" applyBorder="1"/>
    <xf numFmtId="164" fontId="33" fillId="0" borderId="6" xfId="48" applyFont="1" applyBorder="1" applyAlignment="1">
      <alignment horizontal="left"/>
    </xf>
    <xf numFmtId="164" fontId="9" fillId="0" borderId="6" xfId="48" applyFont="1" applyFill="1" applyBorder="1" applyAlignment="1">
      <alignment horizontal="center" wrapText="1"/>
    </xf>
    <xf numFmtId="164" fontId="2" fillId="0" borderId="6" xfId="48" applyFont="1" applyBorder="1" applyAlignment="1">
      <alignment horizontal="left" indent="1"/>
    </xf>
    <xf numFmtId="164" fontId="0" fillId="0" borderId="6" xfId="48" applyFont="1" applyBorder="1"/>
    <xf numFmtId="0" fontId="8" fillId="0" borderId="6" xfId="5" applyFont="1" applyFill="1" applyBorder="1"/>
    <xf numFmtId="0" fontId="13" fillId="0" borderId="6" xfId="0" applyFont="1" applyBorder="1"/>
    <xf numFmtId="164" fontId="24" fillId="0" borderId="6" xfId="0" applyNumberFormat="1" applyFont="1" applyBorder="1"/>
    <xf numFmtId="0" fontId="9" fillId="2" borderId="6" xfId="5" applyFont="1" applyFill="1" applyBorder="1" applyAlignment="1">
      <alignment horizontal="center"/>
    </xf>
    <xf numFmtId="0" fontId="3" fillId="2" borderId="6" xfId="0" applyFont="1" applyFill="1" applyBorder="1"/>
    <xf numFmtId="0" fontId="9" fillId="2" borderId="6" xfId="5" applyFont="1" applyFill="1" applyBorder="1" applyAlignment="1">
      <alignment horizontal="left" indent="5"/>
    </xf>
    <xf numFmtId="0" fontId="9" fillId="2" borderId="6" xfId="5" applyFont="1" applyFill="1" applyBorder="1" applyAlignment="1">
      <alignment horizontal="center"/>
    </xf>
    <xf numFmtId="0" fontId="3" fillId="2" borderId="6" xfId="0" applyFont="1" applyFill="1" applyBorder="1"/>
    <xf numFmtId="0" fontId="2" fillId="2" borderId="6" xfId="0" applyFont="1" applyFill="1" applyBorder="1" applyAlignment="1">
      <alignment horizontal="left" indent="5"/>
    </xf>
    <xf numFmtId="0" fontId="13" fillId="0" borderId="6" xfId="0" applyFont="1" applyBorder="1"/>
    <xf numFmtId="0" fontId="3" fillId="2" borderId="6" xfId="0" applyFont="1" applyFill="1" applyBorder="1"/>
    <xf numFmtId="0" fontId="2" fillId="2" borderId="6" xfId="0" applyFont="1" applyFill="1" applyBorder="1" applyAlignment="1">
      <alignment horizontal="left" indent="5"/>
    </xf>
    <xf numFmtId="0" fontId="9" fillId="2" borderId="6" xfId="5" applyFont="1" applyFill="1" applyBorder="1" applyAlignment="1">
      <alignment horizontal="center"/>
    </xf>
    <xf numFmtId="0" fontId="8" fillId="0" borderId="6" xfId="5" applyFont="1" applyFill="1" applyBorder="1"/>
    <xf numFmtId="0" fontId="13" fillId="0" borderId="6" xfId="0" applyFont="1" applyBorder="1"/>
    <xf numFmtId="0" fontId="0" fillId="0" borderId="0" xfId="0"/>
    <xf numFmtId="0" fontId="9" fillId="0" borderId="6" xfId="5" applyFont="1" applyFill="1" applyBorder="1" applyAlignment="1">
      <alignment horizontal="left" indent="1"/>
    </xf>
    <xf numFmtId="0" fontId="0" fillId="0" borderId="6" xfId="0" applyBorder="1"/>
    <xf numFmtId="164" fontId="13" fillId="0" borderId="6" xfId="0" applyNumberFormat="1" applyFont="1" applyBorder="1"/>
    <xf numFmtId="0" fontId="2" fillId="0" borderId="6" xfId="0" applyFont="1" applyFill="1" applyBorder="1"/>
    <xf numFmtId="0" fontId="9" fillId="0" borderId="6" xfId="2" applyFont="1" applyFill="1" applyBorder="1" applyAlignment="1">
      <alignment horizontal="center"/>
    </xf>
    <xf numFmtId="0" fontId="9" fillId="0" borderId="6" xfId="5" applyFont="1" applyFill="1" applyBorder="1"/>
    <xf numFmtId="0" fontId="9" fillId="0" borderId="6" xfId="32" applyFont="1" applyFill="1" applyBorder="1" applyAlignment="1">
      <alignment horizontal="left"/>
    </xf>
    <xf numFmtId="0" fontId="9" fillId="0" borderId="6" xfId="2" applyFont="1" applyFill="1" applyBorder="1" applyAlignment="1">
      <alignment horizontal="left" indent="2"/>
    </xf>
    <xf numFmtId="0" fontId="2" fillId="0" borderId="6" xfId="0" applyFont="1" applyBorder="1" applyAlignment="1">
      <alignment horizontal="left" indent="2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 indent="2"/>
    </xf>
    <xf numFmtId="0" fontId="3" fillId="0" borderId="6" xfId="0" applyFont="1" applyFill="1" applyBorder="1" applyAlignment="1">
      <alignment horizontal="center"/>
    </xf>
    <xf numFmtId="0" fontId="0" fillId="0" borderId="6" xfId="0" applyBorder="1"/>
    <xf numFmtId="0" fontId="8" fillId="0" borderId="6" xfId="5" applyFont="1" applyFill="1" applyBorder="1"/>
    <xf numFmtId="0" fontId="2" fillId="0" borderId="6" xfId="0" applyFont="1" applyBorder="1" applyAlignment="1">
      <alignment horizontal="left" indent="2"/>
    </xf>
    <xf numFmtId="0" fontId="2" fillId="0" borderId="6" xfId="0" applyFont="1" applyFill="1" applyBorder="1" applyAlignment="1">
      <alignment horizontal="left" indent="2"/>
    </xf>
    <xf numFmtId="0" fontId="9" fillId="0" borderId="6" xfId="2" applyFont="1" applyFill="1" applyBorder="1"/>
    <xf numFmtId="164" fontId="0" fillId="0" borderId="6" xfId="0" applyNumberFormat="1" applyBorder="1"/>
    <xf numFmtId="0" fontId="8" fillId="0" borderId="6" xfId="2" applyFont="1" applyFill="1" applyBorder="1"/>
    <xf numFmtId="0" fontId="10" fillId="0" borderId="7" xfId="2" applyFont="1" applyFill="1" applyBorder="1"/>
    <xf numFmtId="0" fontId="13" fillId="0" borderId="7" xfId="0" applyFont="1" applyBorder="1"/>
    <xf numFmtId="0" fontId="9" fillId="0" borderId="6" xfId="2" applyFont="1" applyFill="1" applyBorder="1"/>
    <xf numFmtId="0" fontId="10" fillId="0" borderId="6" xfId="2" applyFont="1" applyFill="1" applyBorder="1"/>
    <xf numFmtId="0" fontId="13" fillId="0" borderId="6" xfId="0" applyFont="1" applyBorder="1"/>
    <xf numFmtId="164" fontId="13" fillId="0" borderId="6" xfId="0" applyNumberFormat="1" applyFont="1" applyBorder="1"/>
    <xf numFmtId="0" fontId="9" fillId="0" borderId="6" xfId="2" applyFont="1" applyFill="1" applyBorder="1" applyAlignment="1">
      <alignment horizontal="left" indent="2"/>
    </xf>
    <xf numFmtId="0" fontId="2" fillId="0" borderId="6" xfId="0" applyFont="1" applyFill="1" applyBorder="1" applyAlignment="1">
      <alignment horizontal="left" indent="2"/>
    </xf>
    <xf numFmtId="0" fontId="9" fillId="0" borderId="6" xfId="2" applyFont="1" applyFill="1" applyBorder="1"/>
    <xf numFmtId="0" fontId="2" fillId="0" borderId="6" xfId="0" applyFont="1" applyBorder="1" applyAlignment="1">
      <alignment horizontal="center"/>
    </xf>
    <xf numFmtId="43" fontId="9" fillId="0" borderId="6" xfId="7" applyFont="1" applyBorder="1"/>
    <xf numFmtId="0" fontId="9" fillId="0" borderId="7" xfId="0" applyFont="1" applyBorder="1"/>
    <xf numFmtId="0" fontId="9" fillId="0" borderId="0" xfId="5" applyFont="1" applyFill="1" applyBorder="1" applyAlignment="1">
      <alignment horizontal="left" indent="5"/>
    </xf>
    <xf numFmtId="0" fontId="9" fillId="0" borderId="0" xfId="0" applyFont="1" applyFill="1" applyBorder="1" applyAlignment="1">
      <alignment horizontal="left" indent="5"/>
    </xf>
    <xf numFmtId="0" fontId="9" fillId="0" borderId="0" xfId="0" applyFont="1" applyFill="1" applyBorder="1" applyAlignment="1">
      <alignment horizontal="center"/>
    </xf>
    <xf numFmtId="0" fontId="8" fillId="0" borderId="6" xfId="8" applyFont="1" applyFill="1" applyBorder="1" applyAlignment="1">
      <alignment horizontal="left"/>
    </xf>
    <xf numFmtId="164" fontId="9" fillId="0" borderId="0" xfId="1" applyFont="1" applyFill="1" applyBorder="1" applyAlignment="1">
      <alignment horizontal="left" indent="1"/>
    </xf>
    <xf numFmtId="0" fontId="9" fillId="0" borderId="0" xfId="0" applyFont="1" applyFill="1" applyBorder="1"/>
    <xf numFmtId="164" fontId="13" fillId="0" borderId="0" xfId="1" applyFont="1" applyBorder="1" applyAlignment="1">
      <alignment horizontal="left" indent="1"/>
    </xf>
    <xf numFmtId="164" fontId="9" fillId="0" borderId="0" xfId="1" applyFont="1" applyBorder="1" applyAlignment="1">
      <alignment horizontal="left" indent="1"/>
    </xf>
    <xf numFmtId="0" fontId="9" fillId="0" borderId="0" xfId="0" applyFont="1" applyBorder="1" applyAlignment="1">
      <alignment horizontal="center"/>
    </xf>
    <xf numFmtId="0" fontId="9" fillId="0" borderId="6" xfId="2" applyFont="1" applyBorder="1" applyAlignment="1">
      <alignment horizontal="left" indent="3"/>
    </xf>
    <xf numFmtId="164" fontId="9" fillId="0" borderId="0" xfId="1" applyFont="1" applyBorder="1" applyAlignment="1"/>
    <xf numFmtId="0" fontId="9" fillId="0" borderId="6" xfId="2" applyFont="1" applyBorder="1" applyAlignment="1">
      <alignment horizontal="left" indent="1"/>
    </xf>
    <xf numFmtId="164" fontId="9" fillId="0" borderId="0" xfId="1" applyFont="1" applyBorder="1"/>
    <xf numFmtId="0" fontId="9" fillId="0" borderId="0" xfId="2" applyFont="1" applyFill="1" applyBorder="1" applyAlignment="1">
      <alignment horizontal="center"/>
    </xf>
    <xf numFmtId="164" fontId="13" fillId="0" borderId="0" xfId="0" applyNumberFormat="1" applyFont="1" applyBorder="1"/>
    <xf numFmtId="0" fontId="13" fillId="0" borderId="0" xfId="0" applyFont="1" applyBorder="1" applyAlignment="1">
      <alignment horizontal="left" indent="1"/>
    </xf>
    <xf numFmtId="0" fontId="9" fillId="0" borderId="6" xfId="8" applyFont="1" applyFill="1" applyBorder="1"/>
    <xf numFmtId="0" fontId="8" fillId="0" borderId="6" xfId="0" applyFont="1" applyBorder="1"/>
    <xf numFmtId="164" fontId="9" fillId="0" borderId="6" xfId="48" applyFont="1" applyFill="1" applyBorder="1" applyAlignment="1"/>
    <xf numFmtId="164" fontId="9" fillId="0" borderId="6" xfId="48" applyFont="1" applyFill="1" applyBorder="1" applyAlignment="1">
      <alignment horizontal="center" wrapText="1"/>
    </xf>
    <xf numFmtId="164" fontId="8" fillId="0" borderId="6" xfId="48" applyFont="1" applyFill="1" applyBorder="1" applyAlignment="1">
      <alignment horizontal="left"/>
    </xf>
    <xf numFmtId="164" fontId="9" fillId="0" borderId="6" xfId="48" applyFont="1" applyFill="1" applyBorder="1"/>
    <xf numFmtId="164" fontId="9" fillId="0" borderId="6" xfId="48" applyFont="1" applyFill="1" applyBorder="1" applyAlignment="1"/>
    <xf numFmtId="164" fontId="8" fillId="0" borderId="6" xfId="48" applyFont="1" applyFill="1" applyBorder="1" applyAlignment="1"/>
    <xf numFmtId="164" fontId="9" fillId="0" borderId="6" xfId="48" applyFont="1" applyFill="1" applyBorder="1" applyAlignment="1"/>
    <xf numFmtId="0" fontId="0" fillId="0" borderId="6" xfId="0" applyFont="1" applyBorder="1"/>
    <xf numFmtId="0" fontId="9" fillId="0" borderId="6" xfId="2" applyFont="1" applyBorder="1" applyAlignment="1"/>
    <xf numFmtId="0" fontId="9" fillId="0" borderId="6" xfId="2" applyFont="1" applyBorder="1" applyAlignment="1"/>
    <xf numFmtId="0" fontId="9" fillId="0" borderId="6" xfId="2" applyFont="1" applyBorder="1" applyAlignment="1">
      <alignment horizontal="center"/>
    </xf>
    <xf numFmtId="0" fontId="9" fillId="0" borderId="6" xfId="2" applyFont="1" applyBorder="1" applyAlignment="1"/>
    <xf numFmtId="164" fontId="9" fillId="0" borderId="0" xfId="2" applyNumberFormat="1" applyFont="1" applyFill="1" applyBorder="1"/>
    <xf numFmtId="164" fontId="8" fillId="0" borderId="6" xfId="48" applyFont="1" applyFill="1" applyBorder="1"/>
    <xf numFmtId="164" fontId="9" fillId="0" borderId="6" xfId="48" applyFont="1" applyFill="1" applyBorder="1" applyAlignment="1">
      <alignment horizontal="left" indent="3"/>
    </xf>
    <xf numFmtId="164" fontId="9" fillId="0" borderId="6" xfId="48" applyFont="1" applyBorder="1" applyAlignment="1">
      <alignment horizontal="left" indent="3"/>
    </xf>
    <xf numFmtId="0" fontId="8" fillId="0" borderId="6" xfId="2" applyFont="1" applyBorder="1"/>
    <xf numFmtId="0" fontId="9" fillId="0" borderId="6" xfId="2" applyFont="1" applyBorder="1" applyAlignment="1">
      <alignment horizontal="left" indent="2"/>
    </xf>
    <xf numFmtId="0" fontId="9" fillId="0" borderId="6" xfId="2" applyNumberFormat="1" applyFont="1" applyBorder="1" applyAlignment="1">
      <alignment horizontal="center"/>
    </xf>
    <xf numFmtId="0" fontId="0" fillId="0" borderId="6" xfId="0" applyFont="1" applyBorder="1"/>
    <xf numFmtId="0" fontId="9" fillId="0" borderId="6" xfId="2" applyFont="1" applyBorder="1" applyAlignment="1"/>
    <xf numFmtId="0" fontId="9" fillId="0" borderId="6" xfId="5" applyNumberFormat="1" applyFont="1" applyBorder="1" applyAlignment="1">
      <alignment horizontal="center" wrapText="1"/>
    </xf>
    <xf numFmtId="0" fontId="8" fillId="0" borderId="6" xfId="2" applyFont="1" applyBorder="1"/>
    <xf numFmtId="0" fontId="0" fillId="0" borderId="6" xfId="0" applyFont="1" applyBorder="1"/>
    <xf numFmtId="0" fontId="8" fillId="0" borderId="6" xfId="2" applyFont="1" applyBorder="1"/>
    <xf numFmtId="0" fontId="9" fillId="0" borderId="6" xfId="2" applyFont="1" applyBorder="1" applyAlignment="1">
      <alignment horizontal="left" indent="2"/>
    </xf>
    <xf numFmtId="0" fontId="9" fillId="0" borderId="6" xfId="2" applyFont="1" applyBorder="1" applyAlignment="1">
      <alignment horizontal="left" indent="2"/>
    </xf>
    <xf numFmtId="164" fontId="2" fillId="0" borderId="6" xfId="48" applyFont="1" applyBorder="1" applyAlignment="1">
      <alignment horizontal="left" indent="2"/>
    </xf>
    <xf numFmtId="164" fontId="9" fillId="0" borderId="6" xfId="48" applyFont="1" applyBorder="1"/>
    <xf numFmtId="164" fontId="9" fillId="0" borderId="6" xfId="48" applyFont="1" applyFill="1" applyBorder="1"/>
    <xf numFmtId="164" fontId="9" fillId="0" borderId="6" xfId="48" applyFont="1" applyFill="1" applyBorder="1"/>
    <xf numFmtId="0" fontId="13" fillId="0" borderId="6" xfId="0" applyFont="1" applyBorder="1"/>
    <xf numFmtId="164" fontId="9" fillId="0" borderId="6" xfId="48" applyFont="1" applyBorder="1" applyAlignment="1">
      <alignment horizontal="center"/>
    </xf>
    <xf numFmtId="164" fontId="9" fillId="0" borderId="6" xfId="48" applyFont="1" applyBorder="1"/>
    <xf numFmtId="164" fontId="9" fillId="0" borderId="6" xfId="48" applyFont="1" applyFill="1" applyBorder="1"/>
    <xf numFmtId="164" fontId="0" fillId="0" borderId="6" xfId="48" applyFont="1" applyBorder="1"/>
    <xf numFmtId="164" fontId="8" fillId="0" borderId="6" xfId="48" applyFont="1" applyBorder="1"/>
    <xf numFmtId="164" fontId="11" fillId="0" borderId="6" xfId="48" applyFont="1" applyBorder="1" applyAlignment="1">
      <alignment horizontal="left"/>
    </xf>
    <xf numFmtId="164" fontId="9" fillId="0" borderId="6" xfId="48" applyFont="1" applyBorder="1" applyAlignment="1">
      <alignment horizontal="center"/>
    </xf>
    <xf numFmtId="164" fontId="9" fillId="0" borderId="6" xfId="48" applyFont="1" applyBorder="1" applyAlignment="1">
      <alignment horizontal="left" indent="3"/>
    </xf>
    <xf numFmtId="164" fontId="8" fillId="0" borderId="6" xfId="48" applyFont="1" applyBorder="1" applyAlignment="1">
      <alignment horizontal="left"/>
    </xf>
    <xf numFmtId="164" fontId="9" fillId="0" borderId="6" xfId="48" applyFont="1" applyBorder="1"/>
    <xf numFmtId="164" fontId="8" fillId="0" borderId="6" xfId="48" applyFont="1" applyBorder="1"/>
    <xf numFmtId="164" fontId="9" fillId="0" borderId="6" xfId="48" applyFont="1" applyBorder="1" applyAlignment="1">
      <alignment horizontal="left" indent="3"/>
    </xf>
    <xf numFmtId="164" fontId="9" fillId="0" borderId="6" xfId="48" applyFont="1" applyBorder="1" applyAlignment="1">
      <alignment horizontal="left" indent="3"/>
    </xf>
    <xf numFmtId="0" fontId="0" fillId="0" borderId="0" xfId="0"/>
    <xf numFmtId="0" fontId="2" fillId="0" borderId="6" xfId="0" applyFont="1" applyFill="1" applyBorder="1" applyAlignment="1">
      <alignment horizontal="center"/>
    </xf>
    <xf numFmtId="0" fontId="18" fillId="0" borderId="6" xfId="0" applyFont="1" applyBorder="1"/>
    <xf numFmtId="0" fontId="18" fillId="0" borderId="6" xfId="0" applyFont="1" applyBorder="1" applyAlignment="1">
      <alignment horizontal="left"/>
    </xf>
    <xf numFmtId="0" fontId="0" fillId="0" borderId="6" xfId="0" applyFont="1" applyBorder="1" applyAlignment="1"/>
    <xf numFmtId="0" fontId="24" fillId="0" borderId="12" xfId="0" applyFont="1" applyBorder="1"/>
    <xf numFmtId="0" fontId="13" fillId="0" borderId="10" xfId="0" applyFont="1" applyBorder="1"/>
    <xf numFmtId="0" fontId="8" fillId="0" borderId="16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6" xfId="2" applyFont="1" applyFill="1" applyBorder="1" applyAlignment="1">
      <alignment wrapText="1"/>
    </xf>
    <xf numFmtId="0" fontId="18" fillId="0" borderId="13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8" fillId="0" borderId="21" xfId="0" applyFont="1" applyBorder="1"/>
    <xf numFmtId="0" fontId="8" fillId="0" borderId="21" xfId="0" applyFont="1" applyBorder="1" applyAlignment="1">
      <alignment horizontal="center"/>
    </xf>
    <xf numFmtId="4" fontId="8" fillId="0" borderId="16" xfId="8" applyNumberFormat="1" applyFont="1" applyFill="1" applyBorder="1"/>
    <xf numFmtId="164" fontId="13" fillId="0" borderId="16" xfId="1" applyFont="1" applyBorder="1"/>
    <xf numFmtId="0" fontId="13" fillId="0" borderId="16" xfId="0" applyFont="1" applyBorder="1"/>
    <xf numFmtId="0" fontId="8" fillId="0" borderId="3" xfId="0" applyFont="1" applyBorder="1" applyAlignment="1">
      <alignment horizontal="center"/>
    </xf>
    <xf numFmtId="164" fontId="8" fillId="0" borderId="3" xfId="1" applyFont="1" applyBorder="1" applyAlignment="1">
      <alignment horizontal="center"/>
    </xf>
    <xf numFmtId="164" fontId="8" fillId="0" borderId="3" xfId="1" applyFont="1" applyBorder="1" applyAlignment="1"/>
    <xf numFmtId="164" fontId="8" fillId="0" borderId="3" xfId="1" applyFont="1" applyBorder="1"/>
    <xf numFmtId="0" fontId="8" fillId="0" borderId="7" xfId="8" applyFont="1" applyFill="1" applyBorder="1"/>
    <xf numFmtId="4" fontId="8" fillId="0" borderId="7" xfId="8" applyNumberFormat="1" applyFont="1" applyFill="1" applyBorder="1"/>
    <xf numFmtId="0" fontId="8" fillId="0" borderId="6" xfId="8" applyFont="1" applyFill="1" applyBorder="1" applyAlignment="1">
      <alignment horizontal="left" indent="2"/>
    </xf>
    <xf numFmtId="0" fontId="8" fillId="0" borderId="6" xfId="8" applyFont="1" applyFill="1" applyBorder="1" applyAlignment="1">
      <alignment horizontal="left" vertical="center" wrapText="1"/>
    </xf>
    <xf numFmtId="0" fontId="8" fillId="0" borderId="6" xfId="8" quotePrefix="1" applyFont="1" applyFill="1" applyBorder="1" applyAlignment="1">
      <alignment vertical="center" wrapText="1"/>
    </xf>
    <xf numFmtId="0" fontId="19" fillId="2" borderId="6" xfId="8" applyFont="1" applyFill="1" applyBorder="1" applyAlignment="1">
      <alignment wrapText="1"/>
    </xf>
    <xf numFmtId="43" fontId="19" fillId="2" borderId="6" xfId="7" applyNumberFormat="1" applyFont="1" applyFill="1" applyBorder="1"/>
    <xf numFmtId="0" fontId="8" fillId="0" borderId="5" xfId="0" applyFont="1" applyBorder="1" applyAlignment="1">
      <alignment horizontal="center"/>
    </xf>
    <xf numFmtId="0" fontId="10" fillId="0" borderId="6" xfId="0" applyFont="1" applyBorder="1"/>
    <xf numFmtId="0" fontId="8" fillId="0" borderId="6" xfId="0" applyFont="1" applyFill="1" applyBorder="1" applyAlignment="1">
      <alignment horizontal="left" vertical="center" wrapText="1" indent="1"/>
    </xf>
    <xf numFmtId="0" fontId="12" fillId="2" borderId="6" xfId="5" applyFont="1" applyFill="1" applyBorder="1" applyAlignment="1">
      <alignment horizontal="left" vertical="center" indent="1"/>
    </xf>
    <xf numFmtId="164" fontId="9" fillId="0" borderId="6" xfId="1" applyFont="1" applyFill="1" applyBorder="1" applyAlignment="1">
      <alignment horizontal="center"/>
    </xf>
    <xf numFmtId="0" fontId="2" fillId="2" borderId="6" xfId="0" applyFont="1" applyFill="1" applyBorder="1"/>
    <xf numFmtId="0" fontId="9" fillId="2" borderId="6" xfId="0" applyFont="1" applyFill="1" applyBorder="1" applyAlignment="1">
      <alignment horizontal="left" vertical="center" wrapText="1"/>
    </xf>
    <xf numFmtId="0" fontId="13" fillId="0" borderId="0" xfId="0" applyFont="1"/>
    <xf numFmtId="0" fontId="8" fillId="0" borderId="0" xfId="8" applyFont="1" applyFill="1" applyBorder="1" applyAlignment="1">
      <alignment horizontal="center"/>
    </xf>
    <xf numFmtId="164" fontId="9" fillId="0" borderId="6" xfId="1" applyFont="1" applyBorder="1"/>
    <xf numFmtId="164" fontId="8" fillId="0" borderId="6" xfId="1" applyFont="1" applyBorder="1"/>
    <xf numFmtId="164" fontId="9" fillId="0" borderId="6" xfId="1" applyFont="1" applyFill="1" applyBorder="1" applyAlignment="1">
      <alignment horizontal="center"/>
    </xf>
    <xf numFmtId="0" fontId="8" fillId="2" borderId="6" xfId="5" applyFont="1" applyFill="1" applyBorder="1" applyAlignment="1">
      <alignment horizontal="left"/>
    </xf>
    <xf numFmtId="0" fontId="9" fillId="2" borderId="6" xfId="5" applyFont="1" applyFill="1" applyBorder="1" applyAlignment="1">
      <alignment horizontal="left" indent="4"/>
    </xf>
    <xf numFmtId="0" fontId="2" fillId="2" borderId="6" xfId="0" applyFont="1" applyFill="1" applyBorder="1" applyAlignment="1">
      <alignment horizontal="left" indent="4"/>
    </xf>
    <xf numFmtId="0" fontId="24" fillId="0" borderId="0" xfId="0" applyFont="1"/>
    <xf numFmtId="164" fontId="13" fillId="0" borderId="6" xfId="0" applyNumberFormat="1" applyFont="1" applyBorder="1"/>
    <xf numFmtId="164" fontId="13" fillId="0" borderId="6" xfId="1" applyFont="1" applyBorder="1"/>
    <xf numFmtId="164" fontId="9" fillId="0" borderId="6" xfId="1" applyFont="1" applyFill="1" applyBorder="1" applyAlignment="1">
      <alignment vertical="center"/>
    </xf>
    <xf numFmtId="164" fontId="8" fillId="0" borderId="6" xfId="1" applyFont="1" applyFill="1" applyBorder="1" applyAlignment="1">
      <alignment horizontal="center"/>
    </xf>
    <xf numFmtId="164" fontId="8" fillId="0" borderId="6" xfId="1" applyFont="1" applyFill="1" applyBorder="1" applyAlignment="1">
      <alignment vertical="center"/>
    </xf>
    <xf numFmtId="0" fontId="34" fillId="2" borderId="6" xfId="0" applyFont="1" applyFill="1" applyBorder="1" applyAlignment="1">
      <alignment horizontal="left" vertical="center" wrapText="1" indent="6"/>
    </xf>
    <xf numFmtId="0" fontId="34" fillId="2" borderId="6" xfId="0" applyFont="1" applyFill="1" applyBorder="1" applyAlignment="1">
      <alignment horizontal="left" vertical="center" wrapText="1" indent="7"/>
    </xf>
    <xf numFmtId="0" fontId="8" fillId="0" borderId="6" xfId="0" applyFont="1" applyFill="1" applyBorder="1" applyAlignment="1">
      <alignment vertical="top" wrapText="1"/>
    </xf>
    <xf numFmtId="0" fontId="5" fillId="0" borderId="17" xfId="2" applyFont="1" applyBorder="1" applyAlignment="1">
      <alignment horizontal="left" indent="5"/>
    </xf>
    <xf numFmtId="164" fontId="8" fillId="0" borderId="4" xfId="1" applyFont="1" applyFill="1" applyBorder="1" applyAlignment="1">
      <alignment horizontal="center"/>
    </xf>
    <xf numFmtId="43" fontId="35" fillId="0" borderId="6" xfId="7" applyFont="1" applyBorder="1"/>
    <xf numFmtId="164" fontId="16" fillId="0" borderId="6" xfId="1" applyFont="1" applyBorder="1"/>
    <xf numFmtId="164" fontId="19" fillId="2" borderId="6" xfId="1" applyFont="1" applyFill="1" applyBorder="1"/>
    <xf numFmtId="43" fontId="8" fillId="0" borderId="8" xfId="1" applyNumberFormat="1" applyFont="1" applyBorder="1" applyAlignment="1">
      <alignment horizontal="center"/>
    </xf>
    <xf numFmtId="43" fontId="9" fillId="0" borderId="6" xfId="1" applyNumberFormat="1" applyFont="1" applyBorder="1"/>
    <xf numFmtId="43" fontId="9" fillId="0" borderId="6" xfId="1" applyNumberFormat="1" applyFont="1" applyFill="1" applyBorder="1"/>
    <xf numFmtId="43" fontId="9" fillId="0" borderId="6" xfId="1" applyNumberFormat="1" applyFont="1" applyFill="1" applyBorder="1" applyAlignment="1">
      <alignment horizontal="left" indent="4"/>
    </xf>
    <xf numFmtId="43" fontId="9" fillId="0" borderId="7" xfId="1" applyNumberFormat="1" applyFont="1" applyFill="1" applyBorder="1"/>
    <xf numFmtId="43" fontId="13" fillId="0" borderId="6" xfId="1" applyNumberFormat="1" applyFont="1" applyBorder="1"/>
    <xf numFmtId="43" fontId="9" fillId="0" borderId="0" xfId="1" applyNumberFormat="1" applyFont="1"/>
    <xf numFmtId="43" fontId="9" fillId="2" borderId="0" xfId="1" applyNumberFormat="1" applyFont="1" applyFill="1" applyBorder="1"/>
    <xf numFmtId="43" fontId="8" fillId="0" borderId="0" xfId="1" applyNumberFormat="1" applyFont="1" applyBorder="1"/>
    <xf numFmtId="43" fontId="13" fillId="0" borderId="0" xfId="1" applyNumberFormat="1" applyFont="1"/>
    <xf numFmtId="43" fontId="13" fillId="0" borderId="8" xfId="0" applyNumberFormat="1" applyFont="1" applyBorder="1"/>
    <xf numFmtId="43" fontId="9" fillId="2" borderId="6" xfId="7" applyNumberFormat="1" applyFont="1" applyFill="1" applyBorder="1"/>
    <xf numFmtId="43" fontId="9" fillId="0" borderId="6" xfId="1" applyNumberFormat="1" applyFont="1" applyBorder="1" applyAlignment="1">
      <alignment horizontal="center" wrapText="1"/>
    </xf>
    <xf numFmtId="43" fontId="9" fillId="0" borderId="6" xfId="0" applyNumberFormat="1" applyFont="1" applyBorder="1"/>
    <xf numFmtId="43" fontId="9" fillId="2" borderId="6" xfId="1" applyNumberFormat="1" applyFont="1" applyFill="1" applyBorder="1"/>
    <xf numFmtId="43" fontId="9" fillId="2" borderId="6" xfId="1" applyNumberFormat="1" applyFont="1" applyFill="1" applyBorder="1" applyAlignment="1">
      <alignment horizontal="center" vertical="top"/>
    </xf>
    <xf numFmtId="43" fontId="13" fillId="0" borderId="0" xfId="0" applyNumberFormat="1" applyFont="1"/>
    <xf numFmtId="43" fontId="8" fillId="2" borderId="0" xfId="7" applyNumberFormat="1" applyFont="1" applyFill="1" applyBorder="1"/>
    <xf numFmtId="43" fontId="8" fillId="0" borderId="0" xfId="7" applyNumberFormat="1" applyFont="1" applyBorder="1"/>
    <xf numFmtId="43" fontId="9" fillId="0" borderId="6" xfId="1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wrapText="1"/>
    </xf>
    <xf numFmtId="164" fontId="8" fillId="0" borderId="16" xfId="1" applyFont="1" applyBorder="1"/>
    <xf numFmtId="164" fontId="8" fillId="0" borderId="19" xfId="1" applyFont="1" applyBorder="1"/>
    <xf numFmtId="164" fontId="8" fillId="2" borderId="7" xfId="1" applyFont="1" applyFill="1" applyBorder="1" applyAlignment="1">
      <alignment horizontal="center"/>
    </xf>
    <xf numFmtId="164" fontId="17" fillId="0" borderId="13" xfId="1" applyFont="1" applyBorder="1"/>
    <xf numFmtId="164" fontId="17" fillId="2" borderId="13" xfId="1" applyFont="1" applyFill="1" applyBorder="1"/>
    <xf numFmtId="0" fontId="0" fillId="2" borderId="13" xfId="0" applyFill="1" applyBorder="1"/>
    <xf numFmtId="0" fontId="14" fillId="0" borderId="6" xfId="0" applyFont="1" applyBorder="1"/>
    <xf numFmtId="164" fontId="14" fillId="0" borderId="6" xfId="1" applyFont="1" applyBorder="1"/>
    <xf numFmtId="0" fontId="9" fillId="0" borderId="6" xfId="2" applyFont="1" applyBorder="1" applyAlignment="1">
      <alignment wrapText="1"/>
    </xf>
    <xf numFmtId="0" fontId="8" fillId="0" borderId="6" xfId="2" applyFont="1" applyBorder="1" applyAlignment="1">
      <alignment horizontal="left" indent="4"/>
    </xf>
    <xf numFmtId="4" fontId="9" fillId="0" borderId="6" xfId="1" applyNumberFormat="1" applyFont="1" applyBorder="1" applyAlignment="1">
      <alignment horizontal="right"/>
    </xf>
    <xf numFmtId="164" fontId="0" fillId="2" borderId="6" xfId="0" applyNumberFormat="1" applyFill="1" applyBorder="1"/>
    <xf numFmtId="0" fontId="36" fillId="0" borderId="6" xfId="0" applyFont="1" applyFill="1" applyBorder="1" applyAlignment="1">
      <alignment horizontal="center" wrapText="1"/>
    </xf>
    <xf numFmtId="4" fontId="9" fillId="0" borderId="6" xfId="32" applyNumberFormat="1" applyFont="1" applyFill="1" applyBorder="1" applyAlignment="1">
      <alignment horizontal="right"/>
    </xf>
    <xf numFmtId="0" fontId="8" fillId="2" borderId="6" xfId="0" applyFont="1" applyFill="1" applyBorder="1" applyAlignment="1">
      <alignment horizontal="center"/>
    </xf>
    <xf numFmtId="4" fontId="8" fillId="0" borderId="6" xfId="1" applyNumberFormat="1" applyFont="1" applyBorder="1" applyAlignment="1">
      <alignment horizontal="right"/>
    </xf>
    <xf numFmtId="4" fontId="8" fillId="2" borderId="6" xfId="1" applyNumberFormat="1" applyFont="1" applyFill="1" applyBorder="1" applyAlignment="1">
      <alignment horizontal="right"/>
    </xf>
    <xf numFmtId="164" fontId="2" fillId="0" borderId="0" xfId="1" applyFont="1" applyBorder="1"/>
    <xf numFmtId="164" fontId="0" fillId="2" borderId="0" xfId="1" applyFont="1" applyFill="1"/>
    <xf numFmtId="43" fontId="0" fillId="0" borderId="0" xfId="47" applyFont="1"/>
    <xf numFmtId="0" fontId="2" fillId="0" borderId="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7" fillId="0" borderId="6" xfId="0" applyFont="1" applyBorder="1"/>
    <xf numFmtId="164" fontId="37" fillId="0" borderId="6" xfId="1" applyFont="1" applyBorder="1"/>
    <xf numFmtId="164" fontId="3" fillId="2" borderId="6" xfId="1" applyFont="1" applyFill="1" applyBorder="1"/>
    <xf numFmtId="164" fontId="18" fillId="2" borderId="6" xfId="0" applyNumberFormat="1" applyFont="1" applyFill="1" applyBorder="1"/>
    <xf numFmtId="0" fontId="2" fillId="0" borderId="6" xfId="0" applyFont="1" applyFill="1" applyBorder="1" applyAlignment="1">
      <alignment horizontal="left" wrapText="1"/>
    </xf>
    <xf numFmtId="0" fontId="19" fillId="0" borderId="4" xfId="0" applyFont="1" applyBorder="1"/>
    <xf numFmtId="0" fontId="20" fillId="0" borderId="4" xfId="0" applyFont="1" applyBorder="1"/>
    <xf numFmtId="164" fontId="19" fillId="0" borderId="4" xfId="1" applyFont="1" applyBorder="1" applyAlignment="1">
      <alignment horizontal="right"/>
    </xf>
    <xf numFmtId="164" fontId="17" fillId="0" borderId="0" xfId="1" applyFont="1"/>
    <xf numFmtId="164" fontId="17" fillId="2" borderId="0" xfId="1" applyFont="1" applyFill="1"/>
    <xf numFmtId="0" fontId="9" fillId="0" borderId="0" xfId="30" applyFont="1" applyBorder="1" applyAlignment="1">
      <alignment horizontal="center"/>
    </xf>
    <xf numFmtId="0" fontId="9" fillId="2" borderId="0" xfId="32" applyFont="1" applyFill="1" applyBorder="1"/>
    <xf numFmtId="0" fontId="8" fillId="2" borderId="0" xfId="32" applyFont="1" applyFill="1" applyBorder="1"/>
    <xf numFmtId="0" fontId="8" fillId="0" borderId="0" xfId="32" applyFont="1" applyBorder="1"/>
    <xf numFmtId="164" fontId="24" fillId="0" borderId="4" xfId="1" applyFont="1" applyBorder="1"/>
    <xf numFmtId="43" fontId="0" fillId="0" borderId="0" xfId="49" applyFont="1"/>
    <xf numFmtId="43" fontId="0" fillId="0" borderId="0" xfId="49" applyFont="1"/>
    <xf numFmtId="43" fontId="0" fillId="0" borderId="0" xfId="49" applyFont="1"/>
    <xf numFmtId="43" fontId="0" fillId="0" borderId="0" xfId="49" applyFont="1"/>
    <xf numFmtId="0" fontId="9" fillId="0" borderId="6" xfId="2" applyFont="1" applyFill="1" applyBorder="1" applyAlignment="1">
      <alignment horizontal="left" indent="3"/>
    </xf>
    <xf numFmtId="0" fontId="3" fillId="0" borderId="7" xfId="0" applyFont="1" applyFill="1" applyBorder="1" applyAlignment="1">
      <alignment horizontal="center"/>
    </xf>
    <xf numFmtId="43" fontId="8" fillId="0" borderId="7" xfId="1" applyNumberFormat="1" applyFont="1" applyBorder="1" applyAlignment="1">
      <alignment horizontal="center" wrapText="1"/>
    </xf>
    <xf numFmtId="0" fontId="9" fillId="0" borderId="6" xfId="2" applyFont="1" applyFill="1" applyBorder="1" applyAlignment="1">
      <alignment horizontal="left" wrapText="1" indent="5"/>
    </xf>
    <xf numFmtId="0" fontId="11" fillId="0" borderId="6" xfId="5" applyFont="1" applyFill="1" applyBorder="1" applyAlignment="1">
      <alignment horizontal="left" indent="2"/>
    </xf>
    <xf numFmtId="0" fontId="8" fillId="0" borderId="6" xfId="4" applyFont="1" applyBorder="1" applyAlignment="1">
      <alignment horizontal="left" indent="3"/>
    </xf>
    <xf numFmtId="164" fontId="13" fillId="5" borderId="6" xfId="1" applyFont="1" applyFill="1" applyBorder="1"/>
    <xf numFmtId="43" fontId="0" fillId="0" borderId="0" xfId="49" applyFont="1" applyAlignment="1">
      <alignment horizontal="left"/>
    </xf>
    <xf numFmtId="43" fontId="0" fillId="5" borderId="0" xfId="49" applyFont="1" applyFill="1" applyAlignment="1">
      <alignment horizontal="left"/>
    </xf>
    <xf numFmtId="43" fontId="0" fillId="0" borderId="0" xfId="49" applyFont="1" applyAlignment="1">
      <alignment horizontal="left"/>
    </xf>
    <xf numFmtId="43" fontId="0" fillId="0" borderId="0" xfId="49" applyFont="1" applyAlignment="1">
      <alignment horizontal="left"/>
    </xf>
    <xf numFmtId="43" fontId="0" fillId="0" borderId="0" xfId="49" applyFont="1" applyAlignment="1">
      <alignment horizontal="left"/>
    </xf>
    <xf numFmtId="43" fontId="0" fillId="0" borderId="0" xfId="49" applyFont="1" applyAlignment="1">
      <alignment horizontal="left"/>
    </xf>
    <xf numFmtId="43" fontId="0" fillId="0" borderId="0" xfId="49" applyFont="1" applyAlignment="1">
      <alignment horizontal="left"/>
    </xf>
    <xf numFmtId="43" fontId="0" fillId="0" borderId="0" xfId="49" applyFont="1" applyAlignment="1">
      <alignment horizontal="left"/>
    </xf>
    <xf numFmtId="43" fontId="0" fillId="0" borderId="0" xfId="49" applyFont="1" applyAlignment="1">
      <alignment horizontal="left"/>
    </xf>
    <xf numFmtId="43" fontId="0" fillId="0" borderId="6" xfId="49" applyFont="1" applyBorder="1" applyAlignment="1">
      <alignment horizontal="left"/>
    </xf>
    <xf numFmtId="164" fontId="1" fillId="0" borderId="6" xfId="1" applyFont="1" applyBorder="1"/>
    <xf numFmtId="164" fontId="9" fillId="2" borderId="6" xfId="1" applyFont="1" applyFill="1" applyBorder="1" applyAlignment="1">
      <alignment horizontal="center" vertical="center"/>
    </xf>
    <xf numFmtId="0" fontId="13" fillId="2" borderId="0" xfId="0" applyFont="1" applyFill="1"/>
    <xf numFmtId="0" fontId="2" fillId="2" borderId="6" xfId="0" applyFont="1" applyFill="1" applyBorder="1" applyAlignment="1">
      <alignment wrapText="1"/>
    </xf>
    <xf numFmtId="164" fontId="2" fillId="2" borderId="2" xfId="1" applyFont="1" applyFill="1" applyBorder="1" applyAlignment="1">
      <alignment horizontal="center"/>
    </xf>
    <xf numFmtId="0" fontId="9" fillId="2" borderId="6" xfId="5" applyFont="1" applyFill="1" applyBorder="1" applyAlignment="1">
      <alignment wrapText="1"/>
    </xf>
    <xf numFmtId="0" fontId="8" fillId="2" borderId="7" xfId="8" applyFont="1" applyFill="1" applyBorder="1" applyAlignment="1">
      <alignment horizontal="center"/>
    </xf>
    <xf numFmtId="0" fontId="21" fillId="2" borderId="8" xfId="1" applyNumberFormat="1" applyFont="1" applyFill="1" applyBorder="1" applyAlignment="1">
      <alignment horizontal="center"/>
    </xf>
    <xf numFmtId="0" fontId="13" fillId="0" borderId="1" xfId="0" applyFont="1" applyBorder="1"/>
    <xf numFmtId="0" fontId="9" fillId="0" borderId="6" xfId="2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left" wrapText="1"/>
    </xf>
    <xf numFmtId="164" fontId="9" fillId="0" borderId="6" xfId="48" applyFont="1" applyFill="1" applyBorder="1" applyAlignment="1">
      <alignment horizontal="left" wrapText="1" indent="5"/>
    </xf>
    <xf numFmtId="14" fontId="8" fillId="0" borderId="8" xfId="1" applyNumberFormat="1" applyFont="1" applyBorder="1" applyAlignment="1">
      <alignment horizontal="center"/>
    </xf>
    <xf numFmtId="14" fontId="8" fillId="0" borderId="10" xfId="1" applyNumberFormat="1" applyFont="1" applyBorder="1" applyAlignment="1">
      <alignment horizontal="center"/>
    </xf>
    <xf numFmtId="0" fontId="8" fillId="0" borderId="7" xfId="2" applyFont="1" applyFill="1" applyBorder="1"/>
    <xf numFmtId="0" fontId="9" fillId="0" borderId="6" xfId="2" applyFont="1" applyFill="1" applyBorder="1" applyAlignment="1">
      <alignment horizontal="left" wrapText="1"/>
    </xf>
    <xf numFmtId="14" fontId="8" fillId="0" borderId="8" xfId="0" applyNumberFormat="1" applyFont="1" applyBorder="1" applyAlignment="1">
      <alignment horizontal="center"/>
    </xf>
    <xf numFmtId="0" fontId="8" fillId="0" borderId="8" xfId="8" applyFont="1" applyFill="1" applyBorder="1"/>
    <xf numFmtId="0" fontId="9" fillId="0" borderId="6" xfId="8" applyFont="1" applyFill="1" applyBorder="1" applyAlignment="1">
      <alignment horizontal="left" vertical="center" wrapText="1" indent="8"/>
    </xf>
    <xf numFmtId="0" fontId="8" fillId="0" borderId="6" xfId="8" applyFont="1" applyFill="1" applyBorder="1" applyAlignment="1">
      <alignment horizontal="left" vertical="center" wrapText="1" indent="4"/>
    </xf>
    <xf numFmtId="0" fontId="8" fillId="0" borderId="6" xfId="8" applyFont="1" applyFill="1" applyBorder="1" applyAlignment="1">
      <alignment horizontal="left" indent="1"/>
    </xf>
    <xf numFmtId="166" fontId="8" fillId="0" borderId="9" xfId="0" applyNumberFormat="1" applyFont="1" applyBorder="1" applyAlignment="1">
      <alignment horizontal="center"/>
    </xf>
    <xf numFmtId="0" fontId="8" fillId="0" borderId="6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 indent="3"/>
    </xf>
    <xf numFmtId="14" fontId="3" fillId="0" borderId="9" xfId="0" applyNumberFormat="1" applyFont="1" applyBorder="1" applyAlignment="1">
      <alignment horizontal="center"/>
    </xf>
    <xf numFmtId="0" fontId="38" fillId="0" borderId="17" xfId="2" applyFont="1" applyBorder="1" applyAlignment="1">
      <alignment horizontal="left" indent="2"/>
    </xf>
    <xf numFmtId="43" fontId="38" fillId="0" borderId="17" xfId="2" applyNumberFormat="1" applyFont="1" applyBorder="1" applyAlignment="1">
      <alignment horizontal="center"/>
    </xf>
    <xf numFmtId="43" fontId="15" fillId="0" borderId="6" xfId="7" applyFont="1" applyBorder="1"/>
    <xf numFmtId="164" fontId="15" fillId="0" borderId="6" xfId="1" applyFont="1" applyBorder="1"/>
    <xf numFmtId="164" fontId="39" fillId="0" borderId="6" xfId="1" applyFont="1" applyBorder="1"/>
    <xf numFmtId="0" fontId="39" fillId="0" borderId="6" xfId="0" applyFont="1" applyBorder="1"/>
    <xf numFmtId="0" fontId="39" fillId="0" borderId="0" xfId="0" applyFont="1"/>
    <xf numFmtId="0" fontId="40" fillId="0" borderId="6" xfId="2" applyFont="1" applyBorder="1" applyAlignment="1">
      <alignment horizontal="left" indent="4"/>
    </xf>
    <xf numFmtId="0" fontId="15" fillId="0" borderId="6" xfId="2" applyFont="1" applyBorder="1"/>
    <xf numFmtId="0" fontId="40" fillId="0" borderId="6" xfId="2" applyFont="1" applyBorder="1" applyAlignment="1">
      <alignment horizontal="left" wrapText="1" indent="4"/>
    </xf>
    <xf numFmtId="0" fontId="41" fillId="0" borderId="6" xfId="2" applyFont="1" applyBorder="1" applyAlignment="1">
      <alignment horizontal="left" indent="2"/>
    </xf>
    <xf numFmtId="0" fontId="40" fillId="0" borderId="10" xfId="5" applyNumberFormat="1" applyFont="1" applyBorder="1" applyAlignment="1">
      <alignment horizontal="center" wrapText="1"/>
    </xf>
    <xf numFmtId="0" fontId="40" fillId="0" borderId="17" xfId="2" applyFont="1" applyBorder="1" applyAlignment="1">
      <alignment horizontal="left" indent="4"/>
    </xf>
    <xf numFmtId="0" fontId="15" fillId="0" borderId="7" xfId="2" applyFont="1" applyBorder="1"/>
    <xf numFmtId="0" fontId="40" fillId="0" borderId="6" xfId="5" applyNumberFormat="1" applyFont="1" applyBorder="1" applyAlignment="1">
      <alignment horizontal="center" wrapText="1"/>
    </xf>
    <xf numFmtId="0" fontId="9" fillId="0" borderId="6" xfId="4" applyFont="1" applyBorder="1" applyAlignment="1">
      <alignment horizontal="left" wrapText="1" indent="3"/>
    </xf>
    <xf numFmtId="0" fontId="9" fillId="0" borderId="6" xfId="4" applyFont="1" applyBorder="1" applyAlignment="1">
      <alignment horizontal="left" wrapText="1" indent="5"/>
    </xf>
    <xf numFmtId="43" fontId="3" fillId="0" borderId="6" xfId="7" applyFont="1" applyFill="1" applyBorder="1" applyAlignment="1">
      <alignment horizontal="left" indent="3"/>
    </xf>
    <xf numFmtId="164" fontId="9" fillId="0" borderId="17" xfId="1" applyFont="1" applyBorder="1" applyAlignment="1">
      <alignment horizontal="left" indent="5"/>
    </xf>
    <xf numFmtId="43" fontId="11" fillId="0" borderId="6" xfId="7" applyFont="1" applyFill="1" applyBorder="1" applyAlignment="1">
      <alignment horizontal="left" indent="3"/>
    </xf>
    <xf numFmtId="43" fontId="5" fillId="0" borderId="6" xfId="7" applyFont="1" applyFill="1" applyBorder="1" applyAlignment="1">
      <alignment horizontal="left" indent="5"/>
    </xf>
    <xf numFmtId="0" fontId="9" fillId="0" borderId="6" xfId="2" applyFont="1" applyBorder="1" applyAlignment="1">
      <alignment horizontal="left" wrapText="1" indent="1"/>
    </xf>
    <xf numFmtId="0" fontId="8" fillId="0" borderId="6" xfId="2" applyFont="1" applyBorder="1" applyAlignment="1">
      <alignment horizontal="left" wrapText="1" indent="1"/>
    </xf>
    <xf numFmtId="0" fontId="21" fillId="3" borderId="7" xfId="1" applyNumberFormat="1" applyFont="1" applyFill="1" applyBorder="1" applyAlignment="1">
      <alignment horizontal="center"/>
    </xf>
    <xf numFmtId="0" fontId="21" fillId="3" borderId="8" xfId="1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14" fontId="8" fillId="0" borderId="9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164" fontId="2" fillId="0" borderId="0" xfId="1" applyFont="1" applyFill="1" applyBorder="1" applyAlignment="1">
      <alignment horizontal="center"/>
    </xf>
    <xf numFmtId="164" fontId="2" fillId="2" borderId="0" xfId="1" applyFont="1" applyFill="1" applyBorder="1" applyAlignment="1">
      <alignment horizontal="center"/>
    </xf>
    <xf numFmtId="0" fontId="21" fillId="2" borderId="12" xfId="1" applyNumberFormat="1" applyFont="1" applyFill="1" applyBorder="1" applyAlignment="1">
      <alignment horizontal="center"/>
    </xf>
    <xf numFmtId="0" fontId="21" fillId="2" borderId="15" xfId="1" applyNumberFormat="1" applyFont="1" applyFill="1" applyBorder="1" applyAlignment="1">
      <alignment horizontal="center"/>
    </xf>
    <xf numFmtId="0" fontId="21" fillId="2" borderId="7" xfId="1" applyNumberFormat="1" applyFont="1" applyFill="1" applyBorder="1" applyAlignment="1">
      <alignment horizontal="center"/>
    </xf>
    <xf numFmtId="43" fontId="8" fillId="0" borderId="9" xfId="1" applyNumberFormat="1" applyFont="1" applyBorder="1" applyAlignment="1">
      <alignment horizontal="center"/>
    </xf>
    <xf numFmtId="14" fontId="8" fillId="0" borderId="9" xfId="1" applyNumberFormat="1" applyFont="1" applyBorder="1" applyAlignment="1">
      <alignment horizontal="center"/>
    </xf>
    <xf numFmtId="43" fontId="8" fillId="0" borderId="0" xfId="7" applyNumberFormat="1" applyFont="1" applyFill="1" applyBorder="1"/>
    <xf numFmtId="0" fontId="0" fillId="0" borderId="1" xfId="0" applyBorder="1"/>
    <xf numFmtId="43" fontId="1" fillId="0" borderId="0" xfId="49" applyFont="1"/>
    <xf numFmtId="43" fontId="0" fillId="0" borderId="0" xfId="49" applyFont="1"/>
    <xf numFmtId="43" fontId="0" fillId="0" borderId="0" xfId="49" applyFont="1"/>
    <xf numFmtId="43" fontId="0" fillId="0" borderId="0" xfId="49" applyFont="1"/>
    <xf numFmtId="43" fontId="0" fillId="0" borderId="0" xfId="49" applyFont="1"/>
    <xf numFmtId="43" fontId="0" fillId="0" borderId="0" xfId="49" applyFont="1"/>
    <xf numFmtId="43" fontId="0" fillId="0" borderId="0" xfId="49" applyFont="1"/>
    <xf numFmtId="43" fontId="0" fillId="0" borderId="0" xfId="49" applyFont="1"/>
    <xf numFmtId="43" fontId="0" fillId="0" borderId="0" xfId="49" applyFont="1"/>
    <xf numFmtId="43" fontId="0" fillId="0" borderId="0" xfId="49" applyFont="1"/>
    <xf numFmtId="43" fontId="0" fillId="0" borderId="0" xfId="49" applyFont="1"/>
    <xf numFmtId="43" fontId="0" fillId="0" borderId="0" xfId="49" applyFont="1"/>
    <xf numFmtId="43" fontId="0" fillId="0" borderId="0" xfId="49" applyFont="1"/>
    <xf numFmtId="164" fontId="9" fillId="0" borderId="6" xfId="48" applyFont="1" applyBorder="1" applyAlignment="1">
      <alignment horizontal="left" indent="2"/>
    </xf>
    <xf numFmtId="43" fontId="0" fillId="0" borderId="0" xfId="49" applyFont="1"/>
    <xf numFmtId="43" fontId="0" fillId="0" borderId="0" xfId="49" applyFont="1"/>
    <xf numFmtId="43" fontId="0" fillId="0" borderId="0" xfId="49" applyFont="1"/>
    <xf numFmtId="43" fontId="0" fillId="0" borderId="0" xfId="49" applyFont="1"/>
    <xf numFmtId="43" fontId="0" fillId="0" borderId="0" xfId="49" applyFont="1"/>
    <xf numFmtId="43" fontId="0" fillId="0" borderId="0" xfId="49" applyFont="1"/>
    <xf numFmtId="43" fontId="0" fillId="0" borderId="0" xfId="49" applyFont="1"/>
    <xf numFmtId="0" fontId="19" fillId="0" borderId="6" xfId="2" applyFont="1" applyBorder="1" applyAlignment="1">
      <alignment horizontal="center"/>
    </xf>
    <xf numFmtId="164" fontId="19" fillId="0" borderId="6" xfId="0" applyNumberFormat="1" applyFont="1" applyBorder="1"/>
    <xf numFmtId="164" fontId="19" fillId="0" borderId="6" xfId="1" applyFont="1" applyBorder="1"/>
    <xf numFmtId="0" fontId="19" fillId="0" borderId="0" xfId="0" applyFont="1"/>
    <xf numFmtId="0" fontId="9" fillId="2" borderId="6" xfId="4" applyFont="1" applyFill="1" applyBorder="1" applyAlignment="1">
      <alignment horizontal="left" wrapText="1" indent="5"/>
    </xf>
    <xf numFmtId="0" fontId="9" fillId="2" borderId="6" xfId="2" applyNumberFormat="1" applyFont="1" applyFill="1" applyBorder="1" applyAlignment="1">
      <alignment horizontal="center"/>
    </xf>
    <xf numFmtId="43" fontId="9" fillId="2" borderId="6" xfId="4" applyNumberFormat="1" applyFont="1" applyFill="1" applyBorder="1"/>
    <xf numFmtId="0" fontId="9" fillId="2" borderId="6" xfId="4" applyFont="1" applyFill="1" applyBorder="1" applyAlignment="1">
      <alignment horizontal="left" indent="5"/>
    </xf>
    <xf numFmtId="0" fontId="8" fillId="2" borderId="6" xfId="4" applyFont="1" applyFill="1" applyBorder="1" applyAlignment="1">
      <alignment horizontal="left" indent="3"/>
    </xf>
    <xf numFmtId="0" fontId="9" fillId="2" borderId="6" xfId="4" applyFont="1" applyFill="1" applyBorder="1" applyAlignment="1">
      <alignment horizontal="left" wrapText="1" indent="4"/>
    </xf>
    <xf numFmtId="0" fontId="8" fillId="2" borderId="6" xfId="4" applyFont="1" applyFill="1" applyBorder="1" applyAlignment="1">
      <alignment horizontal="left" wrapText="1" indent="2"/>
    </xf>
    <xf numFmtId="0" fontId="9" fillId="2" borderId="6" xfId="4" applyFont="1" applyFill="1" applyBorder="1" applyAlignment="1">
      <alignment horizontal="left" wrapText="1" indent="3"/>
    </xf>
    <xf numFmtId="0" fontId="8" fillId="2" borderId="6" xfId="4" applyFont="1" applyFill="1" applyBorder="1" applyAlignment="1">
      <alignment horizontal="left" indent="2"/>
    </xf>
    <xf numFmtId="0" fontId="9" fillId="2" borderId="6" xfId="4" applyFont="1" applyFill="1" applyBorder="1" applyAlignment="1">
      <alignment horizontal="center" wrapText="1"/>
    </xf>
    <xf numFmtId="0" fontId="9" fillId="2" borderId="6" xfId="4" applyFont="1" applyFill="1" applyBorder="1" applyAlignment="1">
      <alignment horizontal="center"/>
    </xf>
    <xf numFmtId="0" fontId="9" fillId="2" borderId="6" xfId="4" applyFont="1" applyFill="1" applyBorder="1" applyAlignment="1">
      <alignment horizontal="left" indent="3"/>
    </xf>
    <xf numFmtId="0" fontId="2" fillId="2" borderId="6" xfId="0" applyFont="1" applyFill="1" applyBorder="1" applyAlignment="1">
      <alignment horizontal="center" wrapText="1"/>
    </xf>
    <xf numFmtId="164" fontId="19" fillId="0" borderId="0" xfId="1" applyFont="1" applyFill="1" applyBorder="1"/>
    <xf numFmtId="0" fontId="10" fillId="0" borderId="6" xfId="5" applyFont="1" applyFill="1" applyBorder="1"/>
    <xf numFmtId="164" fontId="13" fillId="0" borderId="21" xfId="1" applyFont="1" applyBorder="1"/>
    <xf numFmtId="164" fontId="3" fillId="0" borderId="4" xfId="1" applyFont="1" applyFill="1" applyBorder="1" applyAlignment="1">
      <alignment vertical="center"/>
    </xf>
    <xf numFmtId="43" fontId="0" fillId="7" borderId="0" xfId="49" applyFont="1" applyFill="1"/>
    <xf numFmtId="43" fontId="13" fillId="0" borderId="0" xfId="49" applyFont="1"/>
    <xf numFmtId="164" fontId="9" fillId="0" borderId="6" xfId="48" applyFont="1" applyFill="1" applyBorder="1" applyAlignment="1">
      <alignment horizontal="left" indent="6"/>
    </xf>
    <xf numFmtId="164" fontId="0" fillId="8" borderId="6" xfId="1" applyFont="1" applyFill="1" applyBorder="1"/>
    <xf numFmtId="164" fontId="13" fillId="8" borderId="6" xfId="1" applyFont="1" applyFill="1" applyBorder="1"/>
    <xf numFmtId="164" fontId="9" fillId="8" borderId="6" xfId="1" applyFont="1" applyFill="1" applyBorder="1"/>
    <xf numFmtId="0" fontId="9" fillId="0" borderId="6" xfId="2" applyFont="1" applyFill="1" applyBorder="1" applyAlignment="1">
      <alignment horizontal="left" indent="1"/>
    </xf>
    <xf numFmtId="164" fontId="13" fillId="9" borderId="6" xfId="1" applyFont="1" applyFill="1" applyBorder="1"/>
    <xf numFmtId="43" fontId="0" fillId="8" borderId="0" xfId="49" applyFont="1" applyFill="1"/>
    <xf numFmtId="164" fontId="2" fillId="8" borderId="6" xfId="1" applyFont="1" applyFill="1" applyBorder="1"/>
    <xf numFmtId="164" fontId="13" fillId="10" borderId="6" xfId="1" applyFont="1" applyFill="1" applyBorder="1"/>
    <xf numFmtId="43" fontId="0" fillId="10" borderId="0" xfId="49" applyFont="1" applyFill="1"/>
    <xf numFmtId="164" fontId="9" fillId="10" borderId="7" xfId="1" applyFont="1" applyFill="1" applyBorder="1"/>
    <xf numFmtId="164" fontId="3" fillId="0" borderId="7" xfId="1" applyFont="1" applyFill="1" applyBorder="1" applyAlignment="1">
      <alignment vertical="center"/>
    </xf>
    <xf numFmtId="14" fontId="3" fillId="0" borderId="0" xfId="0" applyNumberFormat="1" applyFont="1" applyBorder="1" applyAlignment="1">
      <alignment horizontal="center"/>
    </xf>
    <xf numFmtId="14" fontId="8" fillId="0" borderId="10" xfId="0" applyNumberFormat="1" applyFont="1" applyBorder="1" applyAlignment="1">
      <alignment horizontal="center"/>
    </xf>
    <xf numFmtId="39" fontId="8" fillId="0" borderId="7" xfId="1" applyNumberFormat="1" applyFont="1" applyBorder="1" applyAlignment="1">
      <alignment horizontal="center" wrapText="1"/>
    </xf>
    <xf numFmtId="39" fontId="8" fillId="0" borderId="9" xfId="1" applyNumberFormat="1" applyFont="1" applyBorder="1" applyAlignment="1">
      <alignment horizontal="center"/>
    </xf>
    <xf numFmtId="39" fontId="13" fillId="0" borderId="8" xfId="0" applyNumberFormat="1" applyFont="1" applyBorder="1"/>
    <xf numFmtId="39" fontId="13" fillId="0" borderId="6" xfId="0" applyNumberFormat="1" applyFont="1" applyBorder="1"/>
    <xf numFmtId="39" fontId="9" fillId="2" borderId="6" xfId="7" applyNumberFormat="1" applyFont="1" applyFill="1" applyBorder="1"/>
    <xf numFmtId="39" fontId="9" fillId="0" borderId="6" xfId="1" applyNumberFormat="1" applyFont="1" applyBorder="1" applyAlignment="1">
      <alignment horizontal="center" wrapText="1"/>
    </xf>
    <xf numFmtId="39" fontId="9" fillId="0" borderId="6" xfId="1" applyNumberFormat="1" applyFont="1" applyBorder="1"/>
    <xf numFmtId="39" fontId="8" fillId="2" borderId="6" xfId="0" applyNumberFormat="1" applyFont="1" applyFill="1" applyBorder="1"/>
    <xf numFmtId="39" fontId="9" fillId="0" borderId="6" xfId="0" applyNumberFormat="1" applyFont="1" applyBorder="1"/>
    <xf numFmtId="39" fontId="9" fillId="0" borderId="6" xfId="1" applyNumberFormat="1" applyFont="1" applyFill="1" applyBorder="1"/>
    <xf numFmtId="39" fontId="9" fillId="2" borderId="6" xfId="1" applyNumberFormat="1" applyFont="1" applyFill="1" applyBorder="1"/>
    <xf numFmtId="39" fontId="9" fillId="2" borderId="6" xfId="1" applyNumberFormat="1" applyFont="1" applyFill="1" applyBorder="1" applyAlignment="1">
      <alignment horizontal="center" vertical="top"/>
    </xf>
    <xf numFmtId="39" fontId="13" fillId="0" borderId="0" xfId="0" applyNumberFormat="1" applyFont="1"/>
    <xf numFmtId="39" fontId="9" fillId="2" borderId="0" xfId="7" applyNumberFormat="1" applyFont="1" applyFill="1" applyBorder="1"/>
    <xf numFmtId="39" fontId="8" fillId="2" borderId="0" xfId="7" applyNumberFormat="1" applyFont="1" applyFill="1" applyBorder="1"/>
    <xf numFmtId="39" fontId="8" fillId="0" borderId="0" xfId="7" applyNumberFormat="1" applyFont="1" applyBorder="1"/>
    <xf numFmtId="43" fontId="8" fillId="0" borderId="10" xfId="1" applyNumberFormat="1" applyFont="1" applyBorder="1" applyAlignment="1">
      <alignment horizontal="center"/>
    </xf>
    <xf numFmtId="164" fontId="3" fillId="0" borderId="6" xfId="48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left" vertical="top" wrapText="1" indent="2"/>
    </xf>
    <xf numFmtId="43" fontId="5" fillId="2" borderId="6" xfId="7" applyFont="1" applyFill="1" applyBorder="1"/>
    <xf numFmtId="164" fontId="13" fillId="2" borderId="6" xfId="1" applyFont="1" applyFill="1" applyBorder="1"/>
    <xf numFmtId="0" fontId="13" fillId="2" borderId="6" xfId="0" applyFont="1" applyFill="1" applyBorder="1"/>
    <xf numFmtId="164" fontId="13" fillId="2" borderId="6" xfId="0" applyNumberFormat="1" applyFont="1" applyFill="1" applyBorder="1"/>
    <xf numFmtId="0" fontId="9" fillId="2" borderId="6" xfId="8" quotePrefix="1" applyFont="1" applyFill="1" applyBorder="1" applyAlignment="1">
      <alignment horizontal="left" vertical="center" indent="6"/>
    </xf>
    <xf numFmtId="4" fontId="9" fillId="2" borderId="6" xfId="5" applyNumberFormat="1" applyFont="1" applyFill="1" applyBorder="1"/>
    <xf numFmtId="0" fontId="9" fillId="2" borderId="6" xfId="8" quotePrefix="1" applyFont="1" applyFill="1" applyBorder="1" applyAlignment="1">
      <alignment horizontal="left" indent="6"/>
    </xf>
    <xf numFmtId="164" fontId="13" fillId="2" borderId="0" xfId="1" applyFont="1" applyFill="1"/>
    <xf numFmtId="164" fontId="8" fillId="2" borderId="6" xfId="1" quotePrefix="1" applyFont="1" applyFill="1" applyBorder="1" applyAlignment="1">
      <alignment horizontal="left" indent="4"/>
    </xf>
    <xf numFmtId="164" fontId="9" fillId="2" borderId="6" xfId="1" applyFont="1" applyFill="1" applyBorder="1" applyAlignment="1">
      <alignment vertical="center"/>
    </xf>
    <xf numFmtId="43" fontId="9" fillId="2" borderId="6" xfId="7" applyFont="1" applyFill="1" applyBorder="1" applyAlignment="1">
      <alignment vertical="center"/>
    </xf>
    <xf numFmtId="0" fontId="2" fillId="0" borderId="6" xfId="0" applyFont="1" applyBorder="1" applyAlignment="1">
      <alignment horizontal="left" wrapText="1" indent="4"/>
    </xf>
    <xf numFmtId="0" fontId="8" fillId="0" borderId="0" xfId="0" applyFont="1" applyBorder="1" applyAlignment="1">
      <alignment horizontal="center" wrapText="1"/>
    </xf>
    <xf numFmtId="164" fontId="13" fillId="0" borderId="6" xfId="1" applyFont="1" applyBorder="1" applyAlignment="1">
      <alignment horizontal="center"/>
    </xf>
    <xf numFmtId="164" fontId="24" fillId="0" borderId="6" xfId="1" applyFont="1" applyBorder="1" applyAlignment="1">
      <alignment horizontal="center"/>
    </xf>
    <xf numFmtId="164" fontId="9" fillId="0" borderId="0" xfId="1" applyFont="1" applyAlignment="1">
      <alignment horizontal="center"/>
    </xf>
    <xf numFmtId="164" fontId="9" fillId="2" borderId="0" xfId="1" applyFont="1" applyFill="1" applyBorder="1" applyAlignment="1">
      <alignment horizontal="center"/>
    </xf>
    <xf numFmtId="164" fontId="8" fillId="2" borderId="0" xfId="1" applyFont="1" applyFill="1" applyBorder="1" applyAlignment="1">
      <alignment horizontal="center"/>
    </xf>
    <xf numFmtId="164" fontId="13" fillId="0" borderId="0" xfId="1" applyFont="1" applyAlignment="1">
      <alignment horizontal="center"/>
    </xf>
    <xf numFmtId="0" fontId="2" fillId="0" borderId="6" xfId="0" applyFont="1" applyBorder="1" applyAlignment="1">
      <alignment horizontal="left" indent="4"/>
    </xf>
    <xf numFmtId="164" fontId="23" fillId="2" borderId="6" xfId="1" applyFont="1" applyFill="1" applyBorder="1"/>
    <xf numFmtId="164" fontId="9" fillId="0" borderId="0" xfId="1" applyFont="1" applyFill="1" applyBorder="1" applyAlignment="1">
      <alignment horizontal="center"/>
    </xf>
    <xf numFmtId="164" fontId="13" fillId="0" borderId="0" xfId="1" applyFont="1" applyBorder="1" applyAlignment="1">
      <alignment horizontal="center"/>
    </xf>
    <xf numFmtId="164" fontId="9" fillId="5" borderId="6" xfId="1" applyFont="1" applyFill="1" applyBorder="1"/>
    <xf numFmtId="164" fontId="0" fillId="5" borderId="6" xfId="1" applyFont="1" applyFill="1" applyBorder="1"/>
    <xf numFmtId="43" fontId="0" fillId="0" borderId="0" xfId="49" applyFont="1"/>
    <xf numFmtId="43" fontId="0" fillId="0" borderId="0" xfId="49" applyFont="1"/>
    <xf numFmtId="43" fontId="0" fillId="0" borderId="0" xfId="49" applyFont="1"/>
    <xf numFmtId="43" fontId="0" fillId="0" borderId="0" xfId="49" applyFont="1"/>
    <xf numFmtId="43" fontId="0" fillId="0" borderId="0" xfId="49" applyFont="1"/>
    <xf numFmtId="43" fontId="0" fillId="0" borderId="0" xfId="49" applyFont="1"/>
    <xf numFmtId="43" fontId="13" fillId="0" borderId="0" xfId="49" applyFont="1"/>
    <xf numFmtId="43" fontId="3" fillId="0" borderId="7" xfId="0" applyNumberFormat="1" applyFont="1" applyBorder="1" applyAlignment="1">
      <alignment horizontal="center" wrapText="1"/>
    </xf>
    <xf numFmtId="43" fontId="3" fillId="0" borderId="10" xfId="0" applyNumberFormat="1" applyFont="1" applyBorder="1" applyAlignment="1">
      <alignment horizontal="center"/>
    </xf>
    <xf numFmtId="0" fontId="8" fillId="0" borderId="6" xfId="0" applyFont="1" applyFill="1" applyBorder="1" applyAlignment="1">
      <alignment horizontal="left" wrapText="1" indent="2"/>
    </xf>
    <xf numFmtId="43" fontId="8" fillId="0" borderId="10" xfId="1" applyNumberFormat="1" applyFont="1" applyBorder="1" applyAlignment="1">
      <alignment horizontal="center" wrapText="1"/>
    </xf>
    <xf numFmtId="164" fontId="9" fillId="0" borderId="10" xfId="1" applyFont="1" applyBorder="1"/>
    <xf numFmtId="164" fontId="9" fillId="0" borderId="1" xfId="1" applyFont="1" applyBorder="1"/>
    <xf numFmtId="0" fontId="9" fillId="2" borderId="6" xfId="8" applyFont="1" applyFill="1" applyBorder="1" applyAlignment="1">
      <alignment horizontal="left" indent="2"/>
    </xf>
    <xf numFmtId="0" fontId="9" fillId="2" borderId="6" xfId="8" applyFont="1" applyFill="1" applyBorder="1" applyAlignment="1">
      <alignment horizontal="left" wrapText="1" indent="2"/>
    </xf>
    <xf numFmtId="0" fontId="8" fillId="2" borderId="6" xfId="8" applyFont="1" applyFill="1" applyBorder="1" applyAlignment="1">
      <alignment horizontal="left"/>
    </xf>
    <xf numFmtId="0" fontId="8" fillId="2" borderId="6" xfId="0" applyFont="1" applyFill="1" applyBorder="1" applyAlignment="1">
      <alignment horizontal="left" indent="2"/>
    </xf>
    <xf numFmtId="0" fontId="8" fillId="2" borderId="6" xfId="0" applyFont="1" applyFill="1" applyBorder="1" applyAlignment="1">
      <alignment horizontal="left" vertical="center" wrapText="1" indent="2"/>
    </xf>
    <xf numFmtId="0" fontId="3" fillId="0" borderId="6" xfId="0" applyFont="1" applyFill="1" applyBorder="1" applyAlignment="1">
      <alignment horizontal="left" wrapText="1" indent="5"/>
    </xf>
    <xf numFmtId="14" fontId="8" fillId="0" borderId="1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164" fontId="13" fillId="5" borderId="6" xfId="0" applyNumberFormat="1" applyFont="1" applyFill="1" applyBorder="1"/>
    <xf numFmtId="164" fontId="13" fillId="3" borderId="6" xfId="0" applyNumberFormat="1" applyFont="1" applyFill="1" applyBorder="1"/>
    <xf numFmtId="43" fontId="0" fillId="0" borderId="0" xfId="49" applyFont="1"/>
    <xf numFmtId="0" fontId="13" fillId="5" borderId="6" xfId="0" applyFont="1" applyFill="1" applyBorder="1"/>
    <xf numFmtId="164" fontId="8" fillId="5" borderId="6" xfId="1" applyFont="1" applyFill="1" applyBorder="1"/>
    <xf numFmtId="43" fontId="0" fillId="0" borderId="0" xfId="49" applyFont="1"/>
    <xf numFmtId="43" fontId="0" fillId="0" borderId="0" xfId="49" applyFont="1"/>
    <xf numFmtId="0" fontId="0" fillId="5" borderId="6" xfId="0" applyFont="1" applyFill="1" applyBorder="1"/>
    <xf numFmtId="43" fontId="0" fillId="0" borderId="0" xfId="49" applyFont="1"/>
    <xf numFmtId="43" fontId="0" fillId="0" borderId="0" xfId="49" applyFont="1"/>
    <xf numFmtId="43" fontId="0" fillId="0" borderId="0" xfId="49" applyFont="1"/>
    <xf numFmtId="43" fontId="0" fillId="0" borderId="0" xfId="49" applyFont="1"/>
    <xf numFmtId="43" fontId="0" fillId="0" borderId="0" xfId="49" applyFont="1"/>
    <xf numFmtId="43" fontId="0" fillId="0" borderId="0" xfId="49" applyFont="1"/>
    <xf numFmtId="43" fontId="0" fillId="0" borderId="0" xfId="49" applyFont="1"/>
    <xf numFmtId="43" fontId="0" fillId="0" borderId="0" xfId="49" applyFont="1"/>
    <xf numFmtId="43" fontId="0" fillId="0" borderId="0" xfId="49" applyFont="1"/>
    <xf numFmtId="43" fontId="0" fillId="0" borderId="0" xfId="49" applyFont="1"/>
    <xf numFmtId="43" fontId="0" fillId="0" borderId="0" xfId="49" applyFont="1"/>
    <xf numFmtId="43" fontId="0" fillId="0" borderId="0" xfId="49" applyFont="1"/>
    <xf numFmtId="43" fontId="0" fillId="0" borderId="0" xfId="49" applyFont="1"/>
    <xf numFmtId="43" fontId="2" fillId="0" borderId="24" xfId="7" applyFont="1" applyFill="1" applyBorder="1"/>
    <xf numFmtId="43" fontId="2" fillId="0" borderId="21" xfId="7" applyFont="1" applyFill="1" applyBorder="1"/>
    <xf numFmtId="43" fontId="3" fillId="0" borderId="21" xfId="7" applyFont="1" applyFill="1" applyBorder="1"/>
    <xf numFmtId="43" fontId="3" fillId="0" borderId="5" xfId="7" applyFont="1" applyFill="1" applyBorder="1"/>
    <xf numFmtId="43" fontId="13" fillId="2" borderId="6" xfId="0" applyNumberFormat="1" applyFont="1" applyFill="1" applyBorder="1"/>
    <xf numFmtId="164" fontId="9" fillId="2" borderId="8" xfId="0" applyNumberFormat="1" applyFont="1" applyFill="1" applyBorder="1" applyAlignment="1">
      <alignment horizontal="center"/>
    </xf>
    <xf numFmtId="43" fontId="9" fillId="2" borderId="6" xfId="8" applyNumberFormat="1" applyFont="1" applyFill="1" applyBorder="1"/>
    <xf numFmtId="164" fontId="9" fillId="2" borderId="6" xfId="0" applyNumberFormat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164" fontId="17" fillId="2" borderId="6" xfId="1" applyFont="1" applyFill="1" applyBorder="1"/>
    <xf numFmtId="0" fontId="21" fillId="3" borderId="7" xfId="1" applyNumberFormat="1" applyFont="1" applyFill="1" applyBorder="1" applyAlignment="1">
      <alignment horizontal="center"/>
    </xf>
    <xf numFmtId="0" fontId="21" fillId="3" borderId="8" xfId="1" applyNumberFormat="1" applyFont="1" applyFill="1" applyBorder="1" applyAlignment="1">
      <alignment horizontal="center"/>
    </xf>
    <xf numFmtId="0" fontId="9" fillId="0" borderId="6" xfId="8" applyFont="1" applyFill="1" applyBorder="1" applyAlignment="1">
      <alignment horizontal="left" indent="3"/>
    </xf>
    <xf numFmtId="164" fontId="8" fillId="2" borderId="4" xfId="1" applyFont="1" applyFill="1" applyBorder="1" applyAlignment="1">
      <alignment horizontal="center"/>
    </xf>
    <xf numFmtId="0" fontId="13" fillId="2" borderId="8" xfId="0" applyFont="1" applyFill="1" applyBorder="1"/>
    <xf numFmtId="164" fontId="24" fillId="2" borderId="6" xfId="1" applyFont="1" applyFill="1" applyBorder="1"/>
    <xf numFmtId="164" fontId="8" fillId="2" borderId="6" xfId="1" applyFont="1" applyFill="1" applyBorder="1" applyAlignment="1">
      <alignment wrapText="1"/>
    </xf>
    <xf numFmtId="164" fontId="24" fillId="2" borderId="6" xfId="0" applyNumberFormat="1" applyFont="1" applyFill="1" applyBorder="1"/>
    <xf numFmtId="164" fontId="8" fillId="2" borderId="6" xfId="1" applyFont="1" applyFill="1" applyBorder="1" applyAlignment="1">
      <alignment vertical="center"/>
    </xf>
    <xf numFmtId="164" fontId="8" fillId="2" borderId="6" xfId="1" applyFont="1" applyFill="1" applyBorder="1" applyAlignment="1">
      <alignment horizontal="center" vertical="center"/>
    </xf>
    <xf numFmtId="43" fontId="8" fillId="2" borderId="4" xfId="5" applyNumberFormat="1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4" fontId="2" fillId="2" borderId="6" xfId="13" applyFont="1" applyFill="1" applyBorder="1"/>
    <xf numFmtId="43" fontId="2" fillId="2" borderId="6" xfId="7" applyFont="1" applyFill="1" applyBorder="1" applyAlignment="1">
      <alignment horizontal="left" vertical="center"/>
    </xf>
    <xf numFmtId="164" fontId="2" fillId="2" borderId="6" xfId="13" applyFont="1" applyFill="1" applyBorder="1" applyAlignment="1">
      <alignment vertical="center"/>
    </xf>
    <xf numFmtId="164" fontId="3" fillId="2" borderId="7" xfId="1" applyFont="1" applyFill="1" applyBorder="1" applyAlignment="1">
      <alignment horizontal="center"/>
    </xf>
    <xf numFmtId="164" fontId="3" fillId="2" borderId="9" xfId="1" applyFont="1" applyFill="1" applyBorder="1" applyAlignment="1">
      <alignment horizontal="center"/>
    </xf>
    <xf numFmtId="0" fontId="0" fillId="2" borderId="13" xfId="0" applyFont="1" applyFill="1" applyBorder="1"/>
    <xf numFmtId="0" fontId="0" fillId="2" borderId="6" xfId="0" applyFont="1" applyFill="1" applyBorder="1"/>
    <xf numFmtId="164" fontId="0" fillId="2" borderId="6" xfId="0" applyNumberFormat="1" applyFont="1" applyFill="1" applyBorder="1"/>
    <xf numFmtId="43" fontId="3" fillId="2" borderId="6" xfId="6" applyFont="1" applyFill="1" applyBorder="1" applyAlignment="1">
      <alignment vertical="center"/>
    </xf>
    <xf numFmtId="43" fontId="3" fillId="2" borderId="6" xfId="6" applyFont="1" applyFill="1" applyBorder="1"/>
    <xf numFmtId="43" fontId="3" fillId="2" borderId="4" xfId="6" applyFont="1" applyFill="1" applyBorder="1" applyAlignment="1">
      <alignment vertical="center"/>
    </xf>
    <xf numFmtId="0" fontId="0" fillId="2" borderId="0" xfId="0" applyFont="1" applyFill="1"/>
    <xf numFmtId="4" fontId="8" fillId="2" borderId="4" xfId="8" applyNumberFormat="1" applyFont="1" applyFill="1" applyBorder="1"/>
    <xf numFmtId="4" fontId="8" fillId="2" borderId="0" xfId="8" applyNumberFormat="1" applyFont="1" applyFill="1" applyBorder="1"/>
    <xf numFmtId="0" fontId="13" fillId="2" borderId="19" xfId="0" applyFont="1" applyFill="1" applyBorder="1"/>
    <xf numFmtId="164" fontId="8" fillId="2" borderId="22" xfId="1" applyFont="1" applyFill="1" applyBorder="1" applyAlignment="1">
      <alignment horizontal="center"/>
    </xf>
    <xf numFmtId="43" fontId="8" fillId="2" borderId="4" xfId="0" applyNumberFormat="1" applyFont="1" applyFill="1" applyBorder="1"/>
    <xf numFmtId="0" fontId="8" fillId="2" borderId="6" xfId="0" applyFont="1" applyFill="1" applyBorder="1" applyAlignment="1">
      <alignment horizontal="center" wrapText="1"/>
    </xf>
    <xf numFmtId="164" fontId="8" fillId="2" borderId="0" xfId="1" applyFont="1" applyFill="1" applyBorder="1" applyAlignment="1"/>
    <xf numFmtId="14" fontId="8" fillId="2" borderId="6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64" fontId="8" fillId="2" borderId="1" xfId="1" applyFont="1" applyFill="1" applyBorder="1" applyAlignment="1">
      <alignment horizontal="center"/>
    </xf>
    <xf numFmtId="164" fontId="8" fillId="2" borderId="6" xfId="1" applyFont="1" applyFill="1" applyBorder="1" applyAlignment="1"/>
    <xf numFmtId="0" fontId="13" fillId="2" borderId="13" xfId="0" applyFont="1" applyFill="1" applyBorder="1"/>
    <xf numFmtId="164" fontId="13" fillId="2" borderId="13" xfId="1" applyFont="1" applyFill="1" applyBorder="1"/>
    <xf numFmtId="164" fontId="8" fillId="2" borderId="6" xfId="1" applyFont="1" applyFill="1" applyBorder="1" applyAlignment="1">
      <alignment horizontal="left" indent="1"/>
    </xf>
    <xf numFmtId="0" fontId="9" fillId="2" borderId="6" xfId="5" applyFont="1" applyFill="1" applyBorder="1"/>
    <xf numFmtId="0" fontId="9" fillId="2" borderId="6" xfId="2" applyFont="1" applyFill="1" applyBorder="1" applyAlignment="1">
      <alignment horizontal="center"/>
    </xf>
    <xf numFmtId="164" fontId="8" fillId="2" borderId="6" xfId="1" applyFont="1" applyFill="1" applyBorder="1" applyAlignment="1">
      <alignment horizontal="left" indent="2"/>
    </xf>
    <xf numFmtId="43" fontId="0" fillId="2" borderId="0" xfId="49" applyFont="1" applyFill="1"/>
    <xf numFmtId="0" fontId="9" fillId="2" borderId="6" xfId="0" applyFont="1" applyFill="1" applyBorder="1"/>
    <xf numFmtId="0" fontId="8" fillId="2" borderId="6" xfId="2" applyFont="1" applyFill="1" applyBorder="1"/>
    <xf numFmtId="0" fontId="9" fillId="2" borderId="6" xfId="5" applyFont="1" applyFill="1" applyBorder="1" applyAlignment="1">
      <alignment horizontal="left" indent="2"/>
    </xf>
    <xf numFmtId="43" fontId="1" fillId="2" borderId="0" xfId="49" applyFont="1" applyFill="1"/>
    <xf numFmtId="0" fontId="9" fillId="2" borderId="6" xfId="2" applyFont="1" applyFill="1" applyBorder="1" applyAlignment="1">
      <alignment horizontal="left" indent="2"/>
    </xf>
    <xf numFmtId="0" fontId="9" fillId="2" borderId="6" xfId="5" quotePrefix="1" applyFont="1" applyFill="1" applyBorder="1" applyAlignment="1">
      <alignment horizontal="left" wrapText="1" indent="4"/>
    </xf>
    <xf numFmtId="0" fontId="9" fillId="2" borderId="6" xfId="5" quotePrefix="1" applyFont="1" applyFill="1" applyBorder="1" applyAlignment="1">
      <alignment horizontal="left" wrapText="1" indent="6"/>
    </xf>
    <xf numFmtId="0" fontId="9" fillId="2" borderId="6" xfId="5" applyFont="1" applyFill="1" applyBorder="1" applyAlignment="1">
      <alignment horizontal="left" indent="6"/>
    </xf>
    <xf numFmtId="0" fontId="8" fillId="2" borderId="6" xfId="8" applyFont="1" applyFill="1" applyBorder="1"/>
    <xf numFmtId="164" fontId="30" fillId="2" borderId="6" xfId="0" applyNumberFormat="1" applyFont="1" applyFill="1" applyBorder="1"/>
    <xf numFmtId="0" fontId="9" fillId="2" borderId="6" xfId="2" applyFont="1" applyFill="1" applyBorder="1" applyAlignment="1">
      <alignment horizontal="left" indent="4"/>
    </xf>
    <xf numFmtId="0" fontId="8" fillId="2" borderId="6" xfId="2" applyFont="1" applyFill="1" applyBorder="1" applyAlignment="1">
      <alignment horizontal="left"/>
    </xf>
    <xf numFmtId="0" fontId="9" fillId="2" borderId="6" xfId="2" applyFont="1" applyFill="1" applyBorder="1" applyAlignment="1">
      <alignment horizontal="left" indent="3"/>
    </xf>
    <xf numFmtId="0" fontId="9" fillId="2" borderId="6" xfId="2" applyFont="1" applyFill="1" applyBorder="1" applyAlignment="1">
      <alignment horizontal="left" wrapText="1" indent="3"/>
    </xf>
    <xf numFmtId="0" fontId="9" fillId="2" borderId="6" xfId="2" applyFont="1" applyFill="1" applyBorder="1" applyAlignment="1">
      <alignment horizontal="left"/>
    </xf>
    <xf numFmtId="43" fontId="9" fillId="2" borderId="0" xfId="6" applyFont="1" applyFill="1" applyBorder="1" applyAlignment="1">
      <alignment horizontal="center"/>
    </xf>
    <xf numFmtId="0" fontId="5" fillId="2" borderId="0" xfId="0" applyFont="1" applyFill="1"/>
    <xf numFmtId="0" fontId="8" fillId="2" borderId="0" xfId="8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9" fillId="2" borderId="0" xfId="8" applyFont="1" applyFill="1" applyBorder="1" applyAlignment="1">
      <alignment horizontal="center"/>
    </xf>
    <xf numFmtId="0" fontId="11" fillId="2" borderId="0" xfId="0" applyFont="1" applyFill="1"/>
    <xf numFmtId="0" fontId="8" fillId="2" borderId="0" xfId="0" applyFont="1" applyFill="1"/>
    <xf numFmtId="0" fontId="8" fillId="2" borderId="1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3" fillId="2" borderId="6" xfId="5" applyFont="1" applyFill="1" applyBorder="1"/>
    <xf numFmtId="0" fontId="3" fillId="2" borderId="6" xfId="5" applyFont="1" applyFill="1" applyBorder="1" applyAlignment="1">
      <alignment horizontal="left" vertical="center"/>
    </xf>
    <xf numFmtId="0" fontId="2" fillId="2" borderId="6" xfId="5" applyFont="1" applyFill="1" applyBorder="1" applyAlignment="1">
      <alignment horizontal="left" indent="2"/>
    </xf>
    <xf numFmtId="0" fontId="2" fillId="2" borderId="6" xfId="5" quotePrefix="1" applyFont="1" applyFill="1" applyBorder="1" applyAlignment="1">
      <alignment horizontal="left" indent="2"/>
    </xf>
    <xf numFmtId="0" fontId="3" fillId="2" borderId="6" xfId="5" quotePrefix="1" applyFont="1" applyFill="1" applyBorder="1" applyAlignment="1"/>
    <xf numFmtId="0" fontId="2" fillId="2" borderId="6" xfId="5" quotePrefix="1" applyFont="1" applyFill="1" applyBorder="1" applyAlignment="1">
      <alignment horizontal="left" indent="4"/>
    </xf>
    <xf numFmtId="0" fontId="2" fillId="2" borderId="6" xfId="5" quotePrefix="1" applyFont="1" applyFill="1" applyBorder="1" applyAlignment="1">
      <alignment horizontal="left" wrapText="1" indent="2"/>
    </xf>
    <xf numFmtId="0" fontId="2" fillId="2" borderId="6" xfId="5" quotePrefix="1" applyFont="1" applyFill="1" applyBorder="1" applyAlignment="1">
      <alignment horizontal="left" wrapText="1" indent="4"/>
    </xf>
    <xf numFmtId="43" fontId="2" fillId="2" borderId="6" xfId="7" applyFont="1" applyFill="1" applyBorder="1" applyAlignment="1">
      <alignment horizontal="left" indent="2"/>
    </xf>
    <xf numFmtId="43" fontId="2" fillId="2" borderId="6" xfId="7" applyFont="1" applyFill="1" applyBorder="1" applyAlignment="1">
      <alignment horizontal="left" indent="5"/>
    </xf>
    <xf numFmtId="43" fontId="3" fillId="2" borderId="6" xfId="7" applyFont="1" applyFill="1" applyBorder="1"/>
    <xf numFmtId="0" fontId="13" fillId="2" borderId="4" xfId="0" applyFont="1" applyFill="1" applyBorder="1"/>
    <xf numFmtId="43" fontId="24" fillId="2" borderId="4" xfId="0" applyNumberFormat="1" applyFont="1" applyFill="1" applyBorder="1"/>
    <xf numFmtId="164" fontId="8" fillId="2" borderId="10" xfId="1" applyFont="1" applyFill="1" applyBorder="1" applyAlignment="1">
      <alignment horizontal="center"/>
    </xf>
    <xf numFmtId="43" fontId="8" fillId="2" borderId="6" xfId="7" applyNumberFormat="1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164" fontId="8" fillId="2" borderId="10" xfId="1" applyFont="1" applyFill="1" applyBorder="1" applyAlignment="1"/>
    <xf numFmtId="164" fontId="8" fillId="2" borderId="10" xfId="1" applyFont="1" applyFill="1" applyBorder="1"/>
    <xf numFmtId="164" fontId="8" fillId="2" borderId="12" xfId="1" applyFont="1" applyFill="1" applyBorder="1"/>
    <xf numFmtId="14" fontId="8" fillId="2" borderId="10" xfId="0" applyNumberFormat="1" applyFont="1" applyFill="1" applyBorder="1" applyAlignment="1">
      <alignment horizontal="center"/>
    </xf>
    <xf numFmtId="164" fontId="8" fillId="2" borderId="9" xfId="1" applyFont="1" applyFill="1" applyBorder="1" applyAlignment="1">
      <alignment horizontal="center" wrapText="1"/>
    </xf>
    <xf numFmtId="0" fontId="11" fillId="2" borderId="11" xfId="0" applyFont="1" applyFill="1" applyBorder="1"/>
    <xf numFmtId="0" fontId="8" fillId="2" borderId="13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left" indent="2"/>
    </xf>
    <xf numFmtId="0" fontId="8" fillId="2" borderId="8" xfId="0" applyFont="1" applyFill="1" applyBorder="1" applyAlignment="1">
      <alignment horizontal="center"/>
    </xf>
    <xf numFmtId="164" fontId="9" fillId="2" borderId="8" xfId="1" applyFont="1" applyFill="1" applyBorder="1" applyAlignment="1">
      <alignment horizontal="center"/>
    </xf>
    <xf numFmtId="0" fontId="5" fillId="2" borderId="6" xfId="5" applyFont="1" applyFill="1" applyBorder="1" applyAlignment="1">
      <alignment horizontal="left" vertical="center" wrapText="1" indent="4"/>
    </xf>
    <xf numFmtId="43" fontId="9" fillId="2" borderId="6" xfId="49" applyFont="1" applyFill="1" applyBorder="1" applyAlignment="1">
      <alignment horizontal="center"/>
    </xf>
    <xf numFmtId="43" fontId="9" fillId="2" borderId="6" xfId="49" applyFont="1" applyFill="1" applyBorder="1" applyAlignment="1"/>
    <xf numFmtId="43" fontId="9" fillId="2" borderId="8" xfId="49" applyFont="1" applyFill="1" applyBorder="1" applyAlignment="1"/>
    <xf numFmtId="0" fontId="11" fillId="2" borderId="6" xfId="5" applyFont="1" applyFill="1" applyBorder="1" applyAlignment="1">
      <alignment horizontal="left" vertical="center" wrapText="1" indent="1"/>
    </xf>
    <xf numFmtId="43" fontId="9" fillId="2" borderId="8" xfId="49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43" fontId="8" fillId="2" borderId="6" xfId="8" applyNumberFormat="1" applyFont="1" applyFill="1" applyBorder="1"/>
    <xf numFmtId="0" fontId="24" fillId="2" borderId="0" xfId="0" applyFont="1" applyFill="1"/>
    <xf numFmtId="0" fontId="11" fillId="2" borderId="6" xfId="0" applyFont="1" applyFill="1" applyBorder="1" applyAlignment="1">
      <alignment horizontal="left" indent="4"/>
    </xf>
    <xf numFmtId="0" fontId="5" fillId="2" borderId="6" xfId="0" applyFont="1" applyFill="1" applyBorder="1" applyAlignment="1">
      <alignment horizontal="left" wrapText="1" indent="3"/>
    </xf>
    <xf numFmtId="43" fontId="9" fillId="2" borderId="6" xfId="49" applyNumberFormat="1" applyFont="1" applyFill="1" applyBorder="1" applyAlignment="1">
      <alignment horizontal="center"/>
    </xf>
    <xf numFmtId="43" fontId="9" fillId="2" borderId="8" xfId="49" applyNumberFormat="1" applyFont="1" applyFill="1" applyBorder="1" applyAlignment="1">
      <alignment horizontal="center"/>
    </xf>
    <xf numFmtId="43" fontId="9" fillId="2" borderId="6" xfId="49" applyFont="1" applyFill="1" applyBorder="1" applyAlignment="1">
      <alignment horizontal="center" vertical="center"/>
    </xf>
    <xf numFmtId="43" fontId="9" fillId="2" borderId="8" xfId="49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indent="4"/>
    </xf>
    <xf numFmtId="0" fontId="5" fillId="2" borderId="6" xfId="0" applyFont="1" applyFill="1" applyBorder="1" applyAlignment="1">
      <alignment horizontal="left" indent="6"/>
    </xf>
    <xf numFmtId="43" fontId="8" fillId="2" borderId="6" xfId="49" applyFont="1" applyFill="1" applyBorder="1"/>
    <xf numFmtId="0" fontId="11" fillId="2" borderId="6" xfId="0" applyFont="1" applyFill="1" applyBorder="1"/>
    <xf numFmtId="0" fontId="5" fillId="2" borderId="6" xfId="0" applyFont="1" applyFill="1" applyBorder="1" applyAlignment="1">
      <alignment horizontal="left" wrapText="1" indent="4"/>
    </xf>
    <xf numFmtId="0" fontId="11" fillId="2" borderId="6" xfId="0" applyFont="1" applyFill="1" applyBorder="1" applyAlignment="1">
      <alignment horizontal="left" wrapText="1" indent="2"/>
    </xf>
    <xf numFmtId="0" fontId="5" fillId="2" borderId="6" xfId="0" applyFont="1" applyFill="1" applyBorder="1" applyAlignment="1">
      <alignment horizontal="left" vertical="center" indent="2"/>
    </xf>
    <xf numFmtId="0" fontId="8" fillId="2" borderId="6" xfId="0" applyFont="1" applyFill="1" applyBorder="1" applyAlignment="1">
      <alignment horizontal="left" indent="3"/>
    </xf>
    <xf numFmtId="0" fontId="8" fillId="2" borderId="6" xfId="8" applyFont="1" applyFill="1" applyBorder="1" applyAlignment="1">
      <alignment horizontal="center"/>
    </xf>
    <xf numFmtId="0" fontId="9" fillId="2" borderId="0" xfId="5" applyNumberFormat="1" applyFont="1" applyFill="1" applyBorder="1" applyAlignment="1">
      <alignment horizontal="center" wrapText="1"/>
    </xf>
    <xf numFmtId="164" fontId="13" fillId="2" borderId="0" xfId="0" applyNumberFormat="1" applyFont="1" applyFill="1"/>
    <xf numFmtId="43" fontId="42" fillId="2" borderId="8" xfId="49" applyFont="1" applyFill="1" applyBorder="1" applyAlignment="1"/>
    <xf numFmtId="43" fontId="42" fillId="2" borderId="6" xfId="49" applyFont="1" applyFill="1" applyBorder="1" applyAlignment="1">
      <alignment horizontal="center" vertical="center"/>
    </xf>
    <xf numFmtId="0" fontId="13" fillId="5" borderId="0" xfId="0" applyFont="1" applyFill="1"/>
    <xf numFmtId="164" fontId="24" fillId="5" borderId="6" xfId="0" applyNumberFormat="1" applyFont="1" applyFill="1" applyBorder="1"/>
    <xf numFmtId="164" fontId="13" fillId="8" borderId="6" xfId="0" applyNumberFormat="1" applyFont="1" applyFill="1" applyBorder="1"/>
    <xf numFmtId="0" fontId="22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8" fillId="0" borderId="23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1" fillId="3" borderId="7" xfId="1" applyNumberFormat="1" applyFont="1" applyFill="1" applyBorder="1" applyAlignment="1">
      <alignment horizontal="center"/>
    </xf>
    <xf numFmtId="0" fontId="21" fillId="3" borderId="8" xfId="1" applyNumberFormat="1" applyFont="1" applyFill="1" applyBorder="1" applyAlignment="1">
      <alignment horizontal="center"/>
    </xf>
    <xf numFmtId="0" fontId="21" fillId="3" borderId="12" xfId="1" applyNumberFormat="1" applyFont="1" applyFill="1" applyBorder="1" applyAlignment="1">
      <alignment horizontal="center"/>
    </xf>
    <xf numFmtId="0" fontId="21" fillId="3" borderId="15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0">
    <cellStyle name="Comma" xfId="1" builtinId="3"/>
    <cellStyle name="Comma 2" xfId="7"/>
    <cellStyle name="Comma 2 2" xfId="10"/>
    <cellStyle name="Comma 2 2 2" xfId="32"/>
    <cellStyle name="Comma 2 2 2 2" xfId="36"/>
    <cellStyle name="Comma 2 2 3" xfId="27"/>
    <cellStyle name="Comma 2 2 4" xfId="17"/>
    <cellStyle name="Comma 2 3" xfId="12"/>
    <cellStyle name="Comma 2 3 2" xfId="33"/>
    <cellStyle name="Comma 2 3 2 2" xfId="46"/>
    <cellStyle name="Comma 2 3 3" xfId="28"/>
    <cellStyle name="Comma 2 3 4" xfId="18"/>
    <cellStyle name="Comma 2 4" xfId="31"/>
    <cellStyle name="Comma 2 4 2" xfId="35"/>
    <cellStyle name="Comma 2 5" xfId="26"/>
    <cellStyle name="Comma 2 6" xfId="49"/>
    <cellStyle name="Comma 2 7" xfId="16"/>
    <cellStyle name="Comma 3" xfId="6"/>
    <cellStyle name="Comma 3 2" xfId="19"/>
    <cellStyle name="Comma 3 2 2" xfId="34"/>
    <cellStyle name="Comma 3 2 2 2" xfId="47"/>
    <cellStyle name="Comma 3 2 3" xfId="29"/>
    <cellStyle name="Comma 3 3" xfId="30"/>
    <cellStyle name="Comma 3 3 2" xfId="45"/>
    <cellStyle name="Comma 3 4" xfId="25"/>
    <cellStyle name="Comma 3 5" xfId="15"/>
    <cellStyle name="Comma 4" xfId="13"/>
    <cellStyle name="Comma 4 2" xfId="37"/>
    <cellStyle name="Comma 4 3" xfId="39"/>
    <cellStyle name="Comma 5" xfId="3"/>
    <cellStyle name="Comma 5 2" xfId="41"/>
    <cellStyle name="Comma 6" xfId="44"/>
    <cellStyle name="Comma 7" xfId="48"/>
    <cellStyle name="Hyperlink 2" xfId="20"/>
    <cellStyle name="Normal" xfId="0" builtinId="0"/>
    <cellStyle name="Normal 2" xfId="5"/>
    <cellStyle name="Normal 2 2" xfId="11"/>
    <cellStyle name="Normal 2 5" xfId="9"/>
    <cellStyle name="Normal 3" xfId="2"/>
    <cellStyle name="Normal 3 2" xfId="21"/>
    <cellStyle name="Normal 3 2 2" xfId="23"/>
    <cellStyle name="Normal 3 2 3" xfId="24"/>
    <cellStyle name="Normal 3 3" xfId="8"/>
    <cellStyle name="Normal 4" xfId="38"/>
    <cellStyle name="Normal 4 2" xfId="40"/>
    <cellStyle name="Normal 5" xfId="14"/>
    <cellStyle name="Normal 5 2" xfId="4"/>
    <cellStyle name="Normal 5 2 2" xfId="43"/>
    <cellStyle name="Normal 5 3" xfId="42"/>
    <cellStyle name="Percent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view="pageBreakPreview" topLeftCell="A16" zoomScale="91" zoomScaleNormal="100" zoomScaleSheetLayoutView="91" workbookViewId="0">
      <pane xSplit="1" topLeftCell="W1" activePane="topRight" state="frozen"/>
      <selection pane="topRight" activeCell="Z16" sqref="Z16"/>
    </sheetView>
  </sheetViews>
  <sheetFormatPr defaultRowHeight="15" outlineLevelCol="1" x14ac:dyDescent="0.25"/>
  <cols>
    <col min="1" max="1" width="48.42578125" customWidth="1"/>
    <col min="2" max="2" width="12.7109375" customWidth="1"/>
    <col min="3" max="3" width="13.5703125" customWidth="1"/>
    <col min="4" max="6" width="13.5703125" style="951" customWidth="1"/>
    <col min="7" max="9" width="13.5703125" customWidth="1"/>
    <col min="10" max="10" width="15.7109375" customWidth="1"/>
    <col min="11" max="11" width="12.7109375" hidden="1" customWidth="1" outlineLevel="1"/>
    <col min="12" max="12" width="15" hidden="1" customWidth="1" outlineLevel="1"/>
    <col min="13" max="17" width="12.7109375" style="708" hidden="1" customWidth="1" outlineLevel="1"/>
    <col min="18" max="20" width="12.7109375" hidden="1" customWidth="1" outlineLevel="1"/>
    <col min="21" max="21" width="13.140625" hidden="1" customWidth="1" outlineLevel="1"/>
    <col min="22" max="22" width="6.42578125" hidden="1" customWidth="1" outlineLevel="1"/>
    <col min="23" max="23" width="14.140625" customWidth="1" collapsed="1"/>
    <col min="24" max="26" width="12.7109375" customWidth="1"/>
    <col min="27" max="27" width="15.85546875" customWidth="1"/>
  </cols>
  <sheetData>
    <row r="1" spans="1:27" x14ac:dyDescent="0.25">
      <c r="A1" s="1432" t="s">
        <v>352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1432"/>
      <c r="M1" s="1432"/>
      <c r="N1" s="1432"/>
      <c r="O1" s="1432"/>
      <c r="P1" s="1432"/>
      <c r="Q1" s="1432"/>
      <c r="R1" s="1432"/>
      <c r="S1" s="1432"/>
      <c r="T1" s="1432"/>
      <c r="U1" s="1432"/>
      <c r="V1" s="1432"/>
      <c r="W1" s="1432"/>
      <c r="X1" s="1432"/>
      <c r="Y1" s="1432"/>
    </row>
    <row r="2" spans="1:27" x14ac:dyDescent="0.25">
      <c r="A2" s="1432" t="s">
        <v>353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1432"/>
      <c r="Y2" s="1432"/>
    </row>
    <row r="3" spans="1:27" ht="15.75" thickBot="1" x14ac:dyDescent="0.3">
      <c r="A3" s="1433" t="str">
        <f>'1020-TOURISM'!A3:Y3</f>
        <v>For the Period October 1-31, 2021</v>
      </c>
      <c r="B3" s="1433"/>
      <c r="C3" s="1433"/>
      <c r="D3" s="1433"/>
      <c r="E3" s="1433"/>
      <c r="F3" s="1433"/>
      <c r="G3" s="1433"/>
      <c r="H3" s="1433"/>
      <c r="I3" s="1433"/>
      <c r="J3" s="1433"/>
      <c r="K3" s="1433"/>
      <c r="L3" s="1433"/>
      <c r="M3" s="1433"/>
      <c r="N3" s="1433"/>
      <c r="O3" s="1433"/>
      <c r="P3" s="1433"/>
      <c r="Q3" s="1433"/>
      <c r="R3" s="1433"/>
      <c r="S3" s="1433"/>
      <c r="T3" s="1433"/>
      <c r="U3" s="1433"/>
      <c r="V3" s="1433"/>
      <c r="W3" s="1433"/>
      <c r="X3" s="1433"/>
      <c r="Y3" s="1433"/>
      <c r="Z3" s="1149"/>
      <c r="AA3" s="1149"/>
    </row>
    <row r="4" spans="1:27" ht="27" thickTop="1" x14ac:dyDescent="0.25">
      <c r="A4" s="730" t="s">
        <v>347</v>
      </c>
      <c r="B4" s="730" t="s">
        <v>2</v>
      </c>
      <c r="C4" s="730" t="s">
        <v>133</v>
      </c>
      <c r="D4" s="1262" t="s">
        <v>1208</v>
      </c>
      <c r="E4" s="1262" t="s">
        <v>1208</v>
      </c>
      <c r="F4" s="1262" t="s">
        <v>1208</v>
      </c>
      <c r="G4" s="730" t="s">
        <v>1</v>
      </c>
      <c r="H4" s="730" t="s">
        <v>316</v>
      </c>
      <c r="I4" s="730" t="s">
        <v>314</v>
      </c>
      <c r="J4" s="724" t="s">
        <v>346</v>
      </c>
      <c r="K4" s="158"/>
      <c r="L4" s="158"/>
      <c r="M4" s="158"/>
      <c r="N4" s="158"/>
      <c r="O4" s="159"/>
      <c r="P4" s="159"/>
      <c r="Q4" s="159"/>
      <c r="R4" s="159"/>
      <c r="S4" s="159"/>
      <c r="T4" s="159"/>
      <c r="U4" s="159"/>
      <c r="V4" s="159"/>
      <c r="W4" s="724" t="s">
        <v>316</v>
      </c>
      <c r="X4" s="724" t="s">
        <v>348</v>
      </c>
      <c r="Y4" s="724" t="s">
        <v>1</v>
      </c>
      <c r="Z4" s="724" t="s">
        <v>131</v>
      </c>
      <c r="AA4" s="724" t="s">
        <v>131</v>
      </c>
    </row>
    <row r="5" spans="1:27" x14ac:dyDescent="0.25">
      <c r="A5" s="69"/>
      <c r="B5" s="69" t="s">
        <v>3</v>
      </c>
      <c r="C5" s="69" t="s">
        <v>134</v>
      </c>
      <c r="D5" s="1009" t="s">
        <v>1349</v>
      </c>
      <c r="E5" s="1009" t="s">
        <v>1354</v>
      </c>
      <c r="F5" s="1009" t="s">
        <v>1184</v>
      </c>
      <c r="G5" s="69" t="s">
        <v>314</v>
      </c>
      <c r="H5" s="69" t="s">
        <v>314</v>
      </c>
      <c r="I5" s="69" t="s">
        <v>315</v>
      </c>
      <c r="J5" s="722" t="s">
        <v>315</v>
      </c>
      <c r="K5" s="70" t="s">
        <v>0</v>
      </c>
      <c r="L5" s="70" t="s">
        <v>120</v>
      </c>
      <c r="M5" s="722" t="s">
        <v>121</v>
      </c>
      <c r="N5" s="722" t="s">
        <v>122</v>
      </c>
      <c r="O5" s="722" t="s">
        <v>123</v>
      </c>
      <c r="P5" s="722" t="s">
        <v>124</v>
      </c>
      <c r="Q5" s="722" t="s">
        <v>125</v>
      </c>
      <c r="R5" s="70" t="s">
        <v>126</v>
      </c>
      <c r="S5" s="70" t="s">
        <v>127</v>
      </c>
      <c r="T5" s="70" t="s">
        <v>128</v>
      </c>
      <c r="U5" s="70" t="s">
        <v>129</v>
      </c>
      <c r="V5" s="70" t="s">
        <v>130</v>
      </c>
      <c r="W5" s="70" t="s">
        <v>317</v>
      </c>
      <c r="X5" s="70" t="s">
        <v>315</v>
      </c>
      <c r="Y5" s="70" t="s">
        <v>317</v>
      </c>
      <c r="Z5" s="70" t="s">
        <v>314</v>
      </c>
      <c r="AA5" s="70" t="s">
        <v>132</v>
      </c>
    </row>
    <row r="6" spans="1:27" x14ac:dyDescent="0.25">
      <c r="A6" s="81" t="s">
        <v>367</v>
      </c>
      <c r="B6" s="48"/>
      <c r="C6" s="48"/>
      <c r="D6" s="869"/>
      <c r="E6" s="869"/>
      <c r="F6" s="869"/>
      <c r="G6" s="48"/>
      <c r="H6" s="48"/>
      <c r="I6" s="48"/>
      <c r="J6" s="48"/>
      <c r="K6" s="48"/>
      <c r="L6" s="48"/>
      <c r="M6" s="673"/>
      <c r="N6" s="673"/>
      <c r="O6" s="673"/>
      <c r="P6" s="673"/>
      <c r="Q6" s="673"/>
      <c r="R6" s="48"/>
      <c r="S6" s="48"/>
      <c r="T6" s="48"/>
      <c r="U6" s="48"/>
      <c r="V6" s="48"/>
      <c r="W6" s="48"/>
      <c r="X6" s="48"/>
      <c r="Y6" s="48"/>
      <c r="Z6" s="48"/>
      <c r="AA6" s="48"/>
    </row>
    <row r="7" spans="1:27" x14ac:dyDescent="0.25">
      <c r="A7" s="110" t="s">
        <v>231</v>
      </c>
      <c r="B7" s="150"/>
      <c r="C7" s="48"/>
      <c r="D7" s="869"/>
      <c r="E7" s="869"/>
      <c r="F7" s="869"/>
      <c r="G7" s="48"/>
      <c r="H7" s="48"/>
      <c r="I7" s="48"/>
      <c r="J7" s="48"/>
      <c r="K7" s="869"/>
      <c r="L7" s="869"/>
      <c r="M7" s="869"/>
      <c r="N7" s="869"/>
      <c r="O7" s="869"/>
      <c r="P7" s="869"/>
      <c r="Q7" s="869"/>
      <c r="R7" s="869"/>
      <c r="S7" s="869"/>
      <c r="T7" s="869"/>
      <c r="U7" s="869"/>
      <c r="V7" s="869"/>
      <c r="W7" s="48"/>
      <c r="X7" s="48"/>
      <c r="Y7" s="77"/>
      <c r="Z7" s="43"/>
      <c r="AA7" s="48"/>
    </row>
    <row r="8" spans="1:27" x14ac:dyDescent="0.25">
      <c r="A8" s="273" t="s">
        <v>139</v>
      </c>
      <c r="B8" s="410" t="s">
        <v>43</v>
      </c>
      <c r="C8" s="414">
        <v>50000</v>
      </c>
      <c r="D8" s="414">
        <f>30000</f>
        <v>30000</v>
      </c>
      <c r="E8" s="414"/>
      <c r="F8" s="414"/>
      <c r="G8" s="52">
        <f>SUM(C8:F8)</f>
        <v>80000</v>
      </c>
      <c r="H8" s="52">
        <f>G8/12*9</f>
        <v>60000</v>
      </c>
      <c r="I8" s="52">
        <f>G8/12</f>
        <v>6666.666666666667</v>
      </c>
      <c r="J8" s="43">
        <f t="shared" ref="J8:J34" si="0">H8+I8</f>
        <v>66666.666666666672</v>
      </c>
      <c r="K8" s="90"/>
      <c r="L8" s="90">
        <v>2620</v>
      </c>
      <c r="M8" s="673">
        <v>5960</v>
      </c>
      <c r="N8" s="673">
        <v>2860</v>
      </c>
      <c r="O8" s="673">
        <v>9560</v>
      </c>
      <c r="P8" s="673">
        <v>19840</v>
      </c>
      <c r="Q8" s="673">
        <f>7060</f>
        <v>7060</v>
      </c>
      <c r="R8" s="90">
        <v>3744</v>
      </c>
      <c r="S8" s="90">
        <v>4440</v>
      </c>
      <c r="T8" s="90"/>
      <c r="U8" s="90"/>
      <c r="V8" s="90"/>
      <c r="W8" s="90">
        <f>K8+L8+M8+N8+O8+P8+Q8+R8+S8</f>
        <v>56084</v>
      </c>
      <c r="X8" s="90">
        <f>T8</f>
        <v>0</v>
      </c>
      <c r="Y8" s="43">
        <f>W8+X8</f>
        <v>56084</v>
      </c>
      <c r="Z8" s="43">
        <f>J8-Y8</f>
        <v>10582.666666666672</v>
      </c>
      <c r="AA8" s="89">
        <f>G8-Y8</f>
        <v>23916</v>
      </c>
    </row>
    <row r="9" spans="1:27" x14ac:dyDescent="0.25">
      <c r="A9" s="273" t="s">
        <v>233</v>
      </c>
      <c r="B9" s="410" t="s">
        <v>140</v>
      </c>
      <c r="C9" s="414">
        <v>14000</v>
      </c>
      <c r="D9" s="414">
        <f>-7500</f>
        <v>-7500</v>
      </c>
      <c r="E9" s="414">
        <f>5060</f>
        <v>5060</v>
      </c>
      <c r="F9" s="414"/>
      <c r="G9" s="720">
        <f t="shared" ref="G9:G34" si="1">SUM(C9:F9)</f>
        <v>11560</v>
      </c>
      <c r="H9" s="720">
        <f t="shared" ref="H9:H34" si="2">G9/12*9</f>
        <v>8670</v>
      </c>
      <c r="I9" s="720">
        <f t="shared" ref="I9:I33" si="3">G9/12</f>
        <v>963.33333333333337</v>
      </c>
      <c r="J9" s="718">
        <f t="shared" si="0"/>
        <v>9633.3333333333339</v>
      </c>
      <c r="K9" s="90"/>
      <c r="L9" s="90"/>
      <c r="M9" s="673"/>
      <c r="N9" s="673"/>
      <c r="O9" s="673"/>
      <c r="P9" s="673"/>
      <c r="Q9" s="673">
        <v>1000</v>
      </c>
      <c r="R9" s="90">
        <v>5060</v>
      </c>
      <c r="S9" s="90"/>
      <c r="T9" s="1251">
        <v>500</v>
      </c>
      <c r="U9" s="90"/>
      <c r="V9" s="90"/>
      <c r="W9" s="673">
        <f t="shared" ref="W9:W34" si="4">K9+L9+M9+N9+O9+P9+Q9+R9+S9</f>
        <v>6060</v>
      </c>
      <c r="X9" s="673">
        <f t="shared" ref="X9:X34" si="5">T9</f>
        <v>500</v>
      </c>
      <c r="Y9" s="718">
        <f t="shared" ref="Y9:Y34" si="6">W9+X9</f>
        <v>6560</v>
      </c>
      <c r="Z9" s="718">
        <f t="shared" ref="Z9:Z34" si="7">J9-Y9</f>
        <v>3073.3333333333339</v>
      </c>
      <c r="AA9" s="874">
        <f t="shared" ref="AA9:AA34" si="8">G9-Y9</f>
        <v>5000</v>
      </c>
    </row>
    <row r="10" spans="1:27" x14ac:dyDescent="0.25">
      <c r="A10" s="273" t="s">
        <v>50</v>
      </c>
      <c r="B10" s="410" t="s">
        <v>51</v>
      </c>
      <c r="C10" s="414">
        <f>80000-5000-2000</f>
        <v>73000</v>
      </c>
      <c r="D10" s="414"/>
      <c r="E10" s="414"/>
      <c r="F10" s="414"/>
      <c r="G10" s="720">
        <f t="shared" si="1"/>
        <v>73000</v>
      </c>
      <c r="H10" s="720">
        <f t="shared" si="2"/>
        <v>54750</v>
      </c>
      <c r="I10" s="720">
        <f t="shared" si="3"/>
        <v>6083.333333333333</v>
      </c>
      <c r="J10" s="718">
        <f t="shared" si="0"/>
        <v>60833.333333333336</v>
      </c>
      <c r="K10" s="90"/>
      <c r="L10" s="90">
        <v>819.75</v>
      </c>
      <c r="M10" s="673">
        <v>17347.5</v>
      </c>
      <c r="N10" s="673"/>
      <c r="O10" s="673"/>
      <c r="P10" s="673">
        <v>9219</v>
      </c>
      <c r="Q10" s="673">
        <v>1770</v>
      </c>
      <c r="R10" s="90">
        <v>2587.5</v>
      </c>
      <c r="S10" s="90">
        <v>3854</v>
      </c>
      <c r="T10" s="1251">
        <v>3700</v>
      </c>
      <c r="U10" s="90"/>
      <c r="V10" s="90"/>
      <c r="W10" s="673">
        <f t="shared" si="4"/>
        <v>35597.75</v>
      </c>
      <c r="X10" s="673">
        <f t="shared" si="5"/>
        <v>3700</v>
      </c>
      <c r="Y10" s="718">
        <f t="shared" si="6"/>
        <v>39297.75</v>
      </c>
      <c r="Z10" s="718">
        <f t="shared" si="7"/>
        <v>21535.583333333336</v>
      </c>
      <c r="AA10" s="874">
        <f t="shared" si="8"/>
        <v>33702.25</v>
      </c>
    </row>
    <row r="11" spans="1:27" x14ac:dyDescent="0.25">
      <c r="A11" s="273" t="s">
        <v>55</v>
      </c>
      <c r="B11" s="410" t="s">
        <v>56</v>
      </c>
      <c r="C11" s="52">
        <f>39000-1000</f>
        <v>38000</v>
      </c>
      <c r="D11" s="720">
        <f>-7500</f>
        <v>-7500</v>
      </c>
      <c r="E11" s="720"/>
      <c r="F11" s="720"/>
      <c r="G11" s="720">
        <f t="shared" si="1"/>
        <v>30500</v>
      </c>
      <c r="H11" s="720">
        <f t="shared" si="2"/>
        <v>22875</v>
      </c>
      <c r="I11" s="720">
        <f t="shared" si="3"/>
        <v>2541.6666666666665</v>
      </c>
      <c r="J11" s="718">
        <f t="shared" si="0"/>
        <v>25416.666666666668</v>
      </c>
      <c r="K11" s="90"/>
      <c r="L11" s="90"/>
      <c r="M11" s="673"/>
      <c r="N11" s="673">
        <v>2464</v>
      </c>
      <c r="O11" s="673"/>
      <c r="P11" s="673">
        <v>2832.48</v>
      </c>
      <c r="Q11" s="673"/>
      <c r="R11" s="90">
        <v>12320</v>
      </c>
      <c r="S11" s="90">
        <v>1680</v>
      </c>
      <c r="T11" s="90"/>
      <c r="U11" s="90"/>
      <c r="V11" s="90"/>
      <c r="W11" s="673">
        <f t="shared" si="4"/>
        <v>19296.48</v>
      </c>
      <c r="X11" s="673">
        <f t="shared" si="5"/>
        <v>0</v>
      </c>
      <c r="Y11" s="718">
        <f t="shared" si="6"/>
        <v>19296.48</v>
      </c>
      <c r="Z11" s="718">
        <f t="shared" si="7"/>
        <v>6120.1866666666683</v>
      </c>
      <c r="AA11" s="874">
        <f t="shared" si="8"/>
        <v>11203.52</v>
      </c>
    </row>
    <row r="12" spans="1:27" x14ac:dyDescent="0.25">
      <c r="A12" s="273" t="s">
        <v>601</v>
      </c>
      <c r="B12" s="410" t="s">
        <v>150</v>
      </c>
      <c r="C12" s="52">
        <v>3000</v>
      </c>
      <c r="D12" s="720"/>
      <c r="E12" s="720"/>
      <c r="F12" s="720"/>
      <c r="G12" s="720">
        <f t="shared" si="1"/>
        <v>3000</v>
      </c>
      <c r="H12" s="720">
        <f t="shared" si="2"/>
        <v>2250</v>
      </c>
      <c r="I12" s="720">
        <f t="shared" si="3"/>
        <v>250</v>
      </c>
      <c r="J12" s="718">
        <f t="shared" si="0"/>
        <v>2500</v>
      </c>
      <c r="K12" s="90"/>
      <c r="L12" s="90"/>
      <c r="M12" s="673"/>
      <c r="N12" s="673"/>
      <c r="O12" s="673"/>
      <c r="P12" s="673"/>
      <c r="Q12" s="673"/>
      <c r="R12" s="90"/>
      <c r="S12" s="90"/>
      <c r="T12" s="90"/>
      <c r="U12" s="90"/>
      <c r="V12" s="90"/>
      <c r="W12" s="673">
        <f t="shared" si="4"/>
        <v>0</v>
      </c>
      <c r="X12" s="673">
        <f t="shared" si="5"/>
        <v>0</v>
      </c>
      <c r="Y12" s="718">
        <f t="shared" si="6"/>
        <v>0</v>
      </c>
      <c r="Z12" s="718">
        <f t="shared" si="7"/>
        <v>2500</v>
      </c>
      <c r="AA12" s="874">
        <f t="shared" si="8"/>
        <v>3000</v>
      </c>
    </row>
    <row r="13" spans="1:27" x14ac:dyDescent="0.25">
      <c r="A13" s="273" t="s">
        <v>602</v>
      </c>
      <c r="B13" s="410" t="s">
        <v>60</v>
      </c>
      <c r="C13" s="414">
        <v>24000</v>
      </c>
      <c r="D13" s="414"/>
      <c r="E13" s="414"/>
      <c r="F13" s="414"/>
      <c r="G13" s="720">
        <f t="shared" si="1"/>
        <v>24000</v>
      </c>
      <c r="H13" s="720">
        <f t="shared" si="2"/>
        <v>18000</v>
      </c>
      <c r="I13" s="720">
        <f t="shared" si="3"/>
        <v>2000</v>
      </c>
      <c r="J13" s="718">
        <f t="shared" si="0"/>
        <v>20000</v>
      </c>
      <c r="K13" s="90">
        <v>2000</v>
      </c>
      <c r="L13" s="90">
        <v>2000</v>
      </c>
      <c r="M13" s="673">
        <v>2000</v>
      </c>
      <c r="N13" s="673">
        <v>4000</v>
      </c>
      <c r="O13" s="673">
        <v>2000</v>
      </c>
      <c r="P13" s="673">
        <v>2000</v>
      </c>
      <c r="Q13" s="673"/>
      <c r="R13" s="90">
        <v>2000</v>
      </c>
      <c r="S13" s="90">
        <v>2000</v>
      </c>
      <c r="T13" s="90"/>
      <c r="U13" s="90"/>
      <c r="V13" s="90"/>
      <c r="W13" s="673">
        <f t="shared" si="4"/>
        <v>18000</v>
      </c>
      <c r="X13" s="673">
        <f t="shared" si="5"/>
        <v>0</v>
      </c>
      <c r="Y13" s="718">
        <f t="shared" si="6"/>
        <v>18000</v>
      </c>
      <c r="Z13" s="718">
        <f t="shared" si="7"/>
        <v>2000</v>
      </c>
      <c r="AA13" s="874">
        <f t="shared" si="8"/>
        <v>6000</v>
      </c>
    </row>
    <row r="14" spans="1:27" x14ac:dyDescent="0.25">
      <c r="A14" s="273" t="s">
        <v>61</v>
      </c>
      <c r="B14" s="410" t="s">
        <v>62</v>
      </c>
      <c r="C14" s="414">
        <v>20000</v>
      </c>
      <c r="D14" s="414"/>
      <c r="F14" s="414"/>
      <c r="G14" s="720">
        <f>SUM(C14:F14)</f>
        <v>20000</v>
      </c>
      <c r="H14" s="720">
        <f t="shared" si="2"/>
        <v>15000</v>
      </c>
      <c r="I14" s="720">
        <f t="shared" si="3"/>
        <v>1666.6666666666667</v>
      </c>
      <c r="J14" s="718">
        <f t="shared" si="0"/>
        <v>16666.666666666668</v>
      </c>
      <c r="K14" s="90">
        <v>1550</v>
      </c>
      <c r="L14" s="90">
        <v>1712</v>
      </c>
      <c r="M14" s="673">
        <v>1697.99</v>
      </c>
      <c r="N14" s="673">
        <v>3214.05</v>
      </c>
      <c r="O14" s="708">
        <v>1471.58</v>
      </c>
      <c r="P14" s="673">
        <v>1314.57</v>
      </c>
      <c r="Q14" s="673"/>
      <c r="R14" s="90">
        <v>3395.98</v>
      </c>
      <c r="S14" s="90"/>
      <c r="T14" s="1251">
        <v>1697.99</v>
      </c>
      <c r="U14" s="90"/>
      <c r="V14" s="90"/>
      <c r="W14" s="673">
        <f t="shared" si="4"/>
        <v>14356.169999999998</v>
      </c>
      <c r="X14" s="673">
        <f t="shared" si="5"/>
        <v>1697.99</v>
      </c>
      <c r="Y14" s="718">
        <f t="shared" si="6"/>
        <v>16054.159999999998</v>
      </c>
      <c r="Z14" s="718">
        <f t="shared" si="7"/>
        <v>612.50666666666984</v>
      </c>
      <c r="AA14" s="874">
        <f t="shared" si="8"/>
        <v>3945.840000000002</v>
      </c>
    </row>
    <row r="15" spans="1:27" x14ac:dyDescent="0.25">
      <c r="A15" s="273" t="s">
        <v>603</v>
      </c>
      <c r="B15" s="410" t="s">
        <v>153</v>
      </c>
      <c r="C15" s="414">
        <f>4000+750</f>
        <v>4750</v>
      </c>
      <c r="D15" s="414"/>
      <c r="E15" s="414"/>
      <c r="F15" s="414"/>
      <c r="G15" s="720">
        <f>SUM(C15:F15)</f>
        <v>4750</v>
      </c>
      <c r="H15" s="720">
        <f t="shared" si="2"/>
        <v>3562.5</v>
      </c>
      <c r="I15" s="720">
        <f t="shared" si="3"/>
        <v>395.83333333333331</v>
      </c>
      <c r="J15" s="718">
        <f t="shared" si="0"/>
        <v>3958.3333333333335</v>
      </c>
      <c r="K15" s="90"/>
      <c r="L15" s="90"/>
      <c r="M15" s="673">
        <v>200</v>
      </c>
      <c r="N15" s="673"/>
      <c r="O15" s="673"/>
      <c r="P15" s="673">
        <v>300</v>
      </c>
      <c r="Q15" s="673">
        <v>400</v>
      </c>
      <c r="R15" s="90">
        <v>300</v>
      </c>
      <c r="S15" s="90">
        <v>1250</v>
      </c>
      <c r="T15" s="90"/>
      <c r="U15" s="90"/>
      <c r="V15" s="90"/>
      <c r="W15" s="673">
        <f t="shared" si="4"/>
        <v>2450</v>
      </c>
      <c r="X15" s="673">
        <f t="shared" si="5"/>
        <v>0</v>
      </c>
      <c r="Y15" s="718">
        <f t="shared" si="6"/>
        <v>2450</v>
      </c>
      <c r="Z15" s="718">
        <f t="shared" si="7"/>
        <v>1508.3333333333335</v>
      </c>
      <c r="AA15" s="874">
        <f t="shared" si="8"/>
        <v>2300</v>
      </c>
    </row>
    <row r="16" spans="1:27" x14ac:dyDescent="0.25">
      <c r="A16" s="273" t="s">
        <v>69</v>
      </c>
      <c r="B16" s="411" t="s">
        <v>68</v>
      </c>
      <c r="C16" s="414"/>
      <c r="D16" s="414"/>
      <c r="E16" s="414"/>
      <c r="F16" s="414"/>
      <c r="G16" s="720">
        <f t="shared" si="1"/>
        <v>0</v>
      </c>
      <c r="H16" s="720">
        <f t="shared" si="2"/>
        <v>0</v>
      </c>
      <c r="I16" s="720">
        <f t="shared" si="3"/>
        <v>0</v>
      </c>
      <c r="J16" s="718">
        <f t="shared" si="0"/>
        <v>0</v>
      </c>
      <c r="K16" s="90"/>
      <c r="L16" s="90"/>
      <c r="M16" s="673"/>
      <c r="N16" s="673"/>
      <c r="O16" s="673"/>
      <c r="P16" s="673"/>
      <c r="Q16" s="673"/>
      <c r="R16" s="90"/>
      <c r="S16" s="90"/>
      <c r="T16" s="90"/>
      <c r="U16" s="90"/>
      <c r="V16" s="90"/>
      <c r="W16" s="673">
        <f t="shared" si="4"/>
        <v>0</v>
      </c>
      <c r="X16" s="673">
        <f t="shared" si="5"/>
        <v>0</v>
      </c>
      <c r="Y16" s="718">
        <f t="shared" si="6"/>
        <v>0</v>
      </c>
      <c r="Z16" s="718">
        <f t="shared" si="7"/>
        <v>0</v>
      </c>
      <c r="AA16" s="874">
        <f t="shared" si="8"/>
        <v>0</v>
      </c>
    </row>
    <row r="17" spans="1:27" x14ac:dyDescent="0.25">
      <c r="A17" s="383" t="s">
        <v>604</v>
      </c>
      <c r="B17" s="411"/>
      <c r="C17" s="414">
        <f>1003200+10000-5000</f>
        <v>1008200</v>
      </c>
      <c r="D17" s="414">
        <f>-15000</f>
        <v>-15000</v>
      </c>
      <c r="E17" s="414"/>
      <c r="F17" s="414"/>
      <c r="G17" s="720">
        <f t="shared" si="1"/>
        <v>993200</v>
      </c>
      <c r="H17" s="720">
        <f t="shared" si="2"/>
        <v>744900</v>
      </c>
      <c r="I17" s="720">
        <f t="shared" si="3"/>
        <v>82766.666666666672</v>
      </c>
      <c r="J17" s="718">
        <f t="shared" si="0"/>
        <v>827666.66666666663</v>
      </c>
      <c r="K17" s="90">
        <v>46377.69</v>
      </c>
      <c r="L17" s="90">
        <v>72669.710000000006</v>
      </c>
      <c r="M17" s="673">
        <v>80938.850000000006</v>
      </c>
      <c r="N17" s="673">
        <v>84118.56</v>
      </c>
      <c r="O17" s="673">
        <v>81737.7</v>
      </c>
      <c r="P17" s="673">
        <v>88627.34</v>
      </c>
      <c r="Q17" s="673">
        <v>54212.92</v>
      </c>
      <c r="R17" s="90">
        <v>75323.009999999995</v>
      </c>
      <c r="S17" s="90">
        <v>66701.98</v>
      </c>
      <c r="T17" s="90">
        <v>65100</v>
      </c>
      <c r="U17" s="90"/>
      <c r="V17" s="90"/>
      <c r="W17" s="673">
        <f>K17+L17+M17+N17+O17+P17+Q17+R17+S17</f>
        <v>650707.75999999989</v>
      </c>
      <c r="X17" s="673">
        <f t="shared" si="5"/>
        <v>65100</v>
      </c>
      <c r="Y17" s="718">
        <f t="shared" si="6"/>
        <v>715807.75999999989</v>
      </c>
      <c r="Z17" s="718">
        <f t="shared" si="7"/>
        <v>111858.90666666673</v>
      </c>
      <c r="AA17" s="874">
        <f>G17-Y17</f>
        <v>277392.24000000011</v>
      </c>
    </row>
    <row r="18" spans="1:27" x14ac:dyDescent="0.25">
      <c r="A18" s="383" t="s">
        <v>605</v>
      </c>
      <c r="B18" s="411"/>
      <c r="C18" s="414">
        <f>56800-10000-6800-10000</f>
        <v>30000</v>
      </c>
      <c r="D18" s="414"/>
      <c r="E18" s="414"/>
      <c r="F18" s="414"/>
      <c r="G18" s="720">
        <f t="shared" si="1"/>
        <v>30000</v>
      </c>
      <c r="H18" s="720">
        <f t="shared" si="2"/>
        <v>22500</v>
      </c>
      <c r="I18" s="720">
        <f t="shared" si="3"/>
        <v>2500</v>
      </c>
      <c r="J18" s="718">
        <f t="shared" si="0"/>
        <v>25000</v>
      </c>
      <c r="K18" s="90"/>
      <c r="L18" s="90"/>
      <c r="M18" s="673"/>
      <c r="N18" s="673"/>
      <c r="O18" s="673"/>
      <c r="P18" s="673"/>
      <c r="Q18" s="673"/>
      <c r="R18" s="90"/>
      <c r="S18" s="90"/>
      <c r="T18" s="90"/>
      <c r="U18" s="90"/>
      <c r="V18" s="90"/>
      <c r="W18" s="673">
        <f t="shared" si="4"/>
        <v>0</v>
      </c>
      <c r="X18" s="673">
        <f t="shared" si="5"/>
        <v>0</v>
      </c>
      <c r="Y18" s="718">
        <f t="shared" si="6"/>
        <v>0</v>
      </c>
      <c r="Z18" s="718">
        <f t="shared" si="7"/>
        <v>25000</v>
      </c>
      <c r="AA18" s="874">
        <f t="shared" si="8"/>
        <v>30000</v>
      </c>
    </row>
    <row r="19" spans="1:27" x14ac:dyDescent="0.25">
      <c r="A19" s="273" t="s">
        <v>226</v>
      </c>
      <c r="B19" s="410" t="s">
        <v>70</v>
      </c>
      <c r="C19" s="414">
        <f>75000+7200</f>
        <v>82200</v>
      </c>
      <c r="D19" s="414"/>
      <c r="E19" s="414"/>
      <c r="F19" s="414"/>
      <c r="G19" s="720">
        <f t="shared" si="1"/>
        <v>82200</v>
      </c>
      <c r="H19" s="720">
        <f t="shared" si="2"/>
        <v>61650</v>
      </c>
      <c r="I19" s="720">
        <f t="shared" si="3"/>
        <v>6850</v>
      </c>
      <c r="J19" s="718">
        <f t="shared" si="0"/>
        <v>68500</v>
      </c>
      <c r="K19" s="48"/>
      <c r="L19" s="48"/>
      <c r="M19" s="673"/>
      <c r="N19" s="673"/>
      <c r="O19" s="673">
        <v>6600</v>
      </c>
      <c r="P19" s="673">
        <v>10800</v>
      </c>
      <c r="Q19" s="673">
        <v>9600</v>
      </c>
      <c r="R19" s="48">
        <v>13200</v>
      </c>
      <c r="S19" s="48">
        <v>13200</v>
      </c>
      <c r="T19" s="48">
        <v>13200</v>
      </c>
      <c r="U19" s="48"/>
      <c r="V19" s="48"/>
      <c r="W19" s="673">
        <f t="shared" si="4"/>
        <v>53400</v>
      </c>
      <c r="X19" s="673">
        <f t="shared" si="5"/>
        <v>13200</v>
      </c>
      <c r="Y19" s="718">
        <f t="shared" si="6"/>
        <v>66600</v>
      </c>
      <c r="Z19" s="718">
        <f t="shared" si="7"/>
        <v>1900</v>
      </c>
      <c r="AA19" s="874">
        <f t="shared" si="8"/>
        <v>15600</v>
      </c>
    </row>
    <row r="20" spans="1:27" x14ac:dyDescent="0.25">
      <c r="A20" s="273" t="s">
        <v>606</v>
      </c>
      <c r="B20" s="412" t="s">
        <v>76</v>
      </c>
      <c r="C20" s="414"/>
      <c r="D20" s="414"/>
      <c r="E20" s="414"/>
      <c r="F20" s="414"/>
      <c r="G20" s="720">
        <f t="shared" si="1"/>
        <v>0</v>
      </c>
      <c r="H20" s="720">
        <f t="shared" si="2"/>
        <v>0</v>
      </c>
      <c r="I20" s="720">
        <f t="shared" si="3"/>
        <v>0</v>
      </c>
      <c r="J20" s="718">
        <f t="shared" si="0"/>
        <v>0</v>
      </c>
      <c r="K20" s="48"/>
      <c r="L20" s="48"/>
      <c r="M20" s="673"/>
      <c r="N20" s="673"/>
      <c r="O20" s="673"/>
      <c r="P20" s="673"/>
      <c r="Q20" s="673"/>
      <c r="R20" s="48"/>
      <c r="S20" s="48"/>
      <c r="T20" s="48"/>
      <c r="U20" s="48"/>
      <c r="V20" s="48"/>
      <c r="W20" s="673">
        <f t="shared" si="4"/>
        <v>0</v>
      </c>
      <c r="X20" s="673">
        <f t="shared" si="5"/>
        <v>0</v>
      </c>
      <c r="Y20" s="718">
        <f t="shared" si="6"/>
        <v>0</v>
      </c>
      <c r="Z20" s="718">
        <f t="shared" si="7"/>
        <v>0</v>
      </c>
      <c r="AA20" s="874">
        <f t="shared" si="8"/>
        <v>0</v>
      </c>
    </row>
    <row r="21" spans="1:27" x14ac:dyDescent="0.25">
      <c r="A21" s="383" t="s">
        <v>110</v>
      </c>
      <c r="B21" s="46"/>
      <c r="C21" s="414">
        <v>9000</v>
      </c>
      <c r="D21" s="414"/>
      <c r="E21" s="414"/>
      <c r="F21" s="414"/>
      <c r="G21" s="720">
        <f t="shared" si="1"/>
        <v>9000</v>
      </c>
      <c r="H21" s="720">
        <f t="shared" si="2"/>
        <v>6750</v>
      </c>
      <c r="I21" s="720">
        <f t="shared" si="3"/>
        <v>750</v>
      </c>
      <c r="J21" s="718">
        <f t="shared" si="0"/>
        <v>7500</v>
      </c>
      <c r="K21" s="48"/>
      <c r="L21" s="48"/>
      <c r="M21" s="673"/>
      <c r="N21" s="673"/>
      <c r="O21" s="673"/>
      <c r="P21" s="673"/>
      <c r="Q21" s="673"/>
      <c r="R21" s="48">
        <v>650</v>
      </c>
      <c r="S21" s="48"/>
      <c r="T21" s="48"/>
      <c r="U21" s="48"/>
      <c r="V21" s="48"/>
      <c r="W21" s="673">
        <f t="shared" si="4"/>
        <v>650</v>
      </c>
      <c r="X21" s="673">
        <f t="shared" si="5"/>
        <v>0</v>
      </c>
      <c r="Y21" s="718">
        <f t="shared" si="6"/>
        <v>650</v>
      </c>
      <c r="Z21" s="718">
        <f t="shared" si="7"/>
        <v>6850</v>
      </c>
      <c r="AA21" s="874">
        <f t="shared" si="8"/>
        <v>8350</v>
      </c>
    </row>
    <row r="22" spans="1:27" x14ac:dyDescent="0.25">
      <c r="A22" s="383" t="s">
        <v>607</v>
      </c>
      <c r="B22" s="46"/>
      <c r="C22" s="414">
        <f>10000+3000+3000</f>
        <v>16000</v>
      </c>
      <c r="D22" s="414"/>
      <c r="E22" s="414"/>
      <c r="F22" s="414"/>
      <c r="G22" s="720">
        <f t="shared" si="1"/>
        <v>16000</v>
      </c>
      <c r="H22" s="720">
        <f t="shared" si="2"/>
        <v>12000</v>
      </c>
      <c r="I22" s="720">
        <f t="shared" si="3"/>
        <v>1333.3333333333333</v>
      </c>
      <c r="J22" s="718">
        <f t="shared" si="0"/>
        <v>13333.333333333334</v>
      </c>
      <c r="K22" s="48"/>
      <c r="L22" s="48"/>
      <c r="M22" s="673"/>
      <c r="N22" s="673"/>
      <c r="O22" s="673"/>
      <c r="P22" s="673"/>
      <c r="Q22" s="673">
        <v>4865</v>
      </c>
      <c r="R22" s="48"/>
      <c r="S22" s="673">
        <v>1200</v>
      </c>
      <c r="T22" s="48"/>
      <c r="U22" s="48"/>
      <c r="V22" s="48"/>
      <c r="W22" s="673">
        <f t="shared" si="4"/>
        <v>6065</v>
      </c>
      <c r="X22" s="673">
        <f t="shared" si="5"/>
        <v>0</v>
      </c>
      <c r="Y22" s="718">
        <f t="shared" si="6"/>
        <v>6065</v>
      </c>
      <c r="Z22" s="718">
        <f t="shared" si="7"/>
        <v>7268.3333333333339</v>
      </c>
      <c r="AA22" s="874">
        <f t="shared" si="8"/>
        <v>9935</v>
      </c>
    </row>
    <row r="23" spans="1:27" x14ac:dyDescent="0.25">
      <c r="A23" s="383" t="s">
        <v>608</v>
      </c>
      <c r="B23" s="46"/>
      <c r="C23" s="414"/>
      <c r="D23" s="414"/>
      <c r="E23" s="414"/>
      <c r="F23" s="414"/>
      <c r="G23" s="720">
        <f t="shared" si="1"/>
        <v>0</v>
      </c>
      <c r="H23" s="720">
        <f t="shared" si="2"/>
        <v>0</v>
      </c>
      <c r="I23" s="720">
        <f t="shared" si="3"/>
        <v>0</v>
      </c>
      <c r="J23" s="718">
        <f t="shared" si="0"/>
        <v>0</v>
      </c>
      <c r="K23" s="48"/>
      <c r="L23" s="48"/>
      <c r="M23" s="673"/>
      <c r="N23" s="673"/>
      <c r="O23" s="673"/>
      <c r="P23" s="673"/>
      <c r="Q23" s="673"/>
      <c r="R23" s="48"/>
      <c r="S23" s="48"/>
      <c r="T23" s="48"/>
      <c r="U23" s="48"/>
      <c r="V23" s="48"/>
      <c r="W23" s="673">
        <f t="shared" si="4"/>
        <v>0</v>
      </c>
      <c r="X23" s="673">
        <f t="shared" si="5"/>
        <v>0</v>
      </c>
      <c r="Y23" s="718">
        <f t="shared" si="6"/>
        <v>0</v>
      </c>
      <c r="Z23" s="718">
        <f t="shared" si="7"/>
        <v>0</v>
      </c>
      <c r="AA23" s="874">
        <f t="shared" si="8"/>
        <v>0</v>
      </c>
    </row>
    <row r="24" spans="1:27" x14ac:dyDescent="0.25">
      <c r="A24" s="427" t="s">
        <v>609</v>
      </c>
      <c r="B24" s="46"/>
      <c r="C24" s="414">
        <v>18000</v>
      </c>
      <c r="D24" s="414"/>
      <c r="E24" s="414"/>
      <c r="F24" s="414"/>
      <c r="G24" s="720">
        <f t="shared" si="1"/>
        <v>18000</v>
      </c>
      <c r="H24" s="720">
        <f t="shared" si="2"/>
        <v>13500</v>
      </c>
      <c r="I24" s="720">
        <f t="shared" si="3"/>
        <v>1500</v>
      </c>
      <c r="J24" s="718">
        <f t="shared" si="0"/>
        <v>15000</v>
      </c>
      <c r="K24" s="48"/>
      <c r="L24" s="48"/>
      <c r="M24" s="673"/>
      <c r="N24" s="673"/>
      <c r="O24" s="673"/>
      <c r="P24" s="673"/>
      <c r="Q24" s="673"/>
      <c r="R24" s="48"/>
      <c r="S24" s="673">
        <v>4375</v>
      </c>
      <c r="T24" s="48"/>
      <c r="U24" s="48"/>
      <c r="V24" s="48"/>
      <c r="W24" s="673">
        <f t="shared" si="4"/>
        <v>4375</v>
      </c>
      <c r="X24" s="673">
        <f t="shared" si="5"/>
        <v>0</v>
      </c>
      <c r="Y24" s="718">
        <f t="shared" si="6"/>
        <v>4375</v>
      </c>
      <c r="Z24" s="718">
        <f t="shared" si="7"/>
        <v>10625</v>
      </c>
      <c r="AA24" s="874">
        <f t="shared" si="8"/>
        <v>13625</v>
      </c>
    </row>
    <row r="25" spans="1:27" x14ac:dyDescent="0.25">
      <c r="A25" s="273" t="s">
        <v>610</v>
      </c>
      <c r="B25" s="406" t="s">
        <v>79</v>
      </c>
      <c r="C25" s="52"/>
      <c r="D25" s="720"/>
      <c r="E25" s="720"/>
      <c r="F25" s="720"/>
      <c r="G25" s="720">
        <f t="shared" si="1"/>
        <v>0</v>
      </c>
      <c r="H25" s="720">
        <f t="shared" si="2"/>
        <v>0</v>
      </c>
      <c r="I25" s="720">
        <f t="shared" si="3"/>
        <v>0</v>
      </c>
      <c r="J25" s="718">
        <f t="shared" si="0"/>
        <v>0</v>
      </c>
      <c r="K25" s="48"/>
      <c r="L25" s="48"/>
      <c r="M25" s="673"/>
      <c r="N25" s="673"/>
      <c r="O25" s="673"/>
      <c r="P25" s="673"/>
      <c r="Q25" s="673"/>
      <c r="R25" s="48"/>
      <c r="S25" s="48"/>
      <c r="T25" s="48"/>
      <c r="U25" s="48"/>
      <c r="V25" s="48"/>
      <c r="W25" s="673">
        <f t="shared" si="4"/>
        <v>0</v>
      </c>
      <c r="X25" s="673">
        <f t="shared" si="5"/>
        <v>0</v>
      </c>
      <c r="Y25" s="718">
        <f t="shared" si="6"/>
        <v>0</v>
      </c>
      <c r="Z25" s="718">
        <f t="shared" si="7"/>
        <v>0</v>
      </c>
      <c r="AA25" s="874">
        <f t="shared" si="8"/>
        <v>0</v>
      </c>
    </row>
    <row r="26" spans="1:27" x14ac:dyDescent="0.25">
      <c r="A26" s="383" t="s">
        <v>611</v>
      </c>
      <c r="B26" s="46"/>
      <c r="C26" s="52">
        <v>19000</v>
      </c>
      <c r="D26" s="720"/>
      <c r="E26" s="720"/>
      <c r="F26" s="720"/>
      <c r="G26" s="720">
        <f t="shared" si="1"/>
        <v>19000</v>
      </c>
      <c r="H26" s="720">
        <f t="shared" si="2"/>
        <v>14250</v>
      </c>
      <c r="I26" s="720">
        <f t="shared" si="3"/>
        <v>1583.3333333333333</v>
      </c>
      <c r="J26" s="718">
        <f t="shared" si="0"/>
        <v>15833.333333333334</v>
      </c>
      <c r="K26" s="48"/>
      <c r="L26" s="48"/>
      <c r="M26" s="673"/>
      <c r="N26" s="673"/>
      <c r="O26" s="673">
        <v>150</v>
      </c>
      <c r="P26" s="673"/>
      <c r="Q26" s="673"/>
      <c r="R26" s="48"/>
      <c r="S26" s="48"/>
      <c r="T26" s="48"/>
      <c r="U26" s="48"/>
      <c r="V26" s="48"/>
      <c r="W26" s="673">
        <f t="shared" si="4"/>
        <v>150</v>
      </c>
      <c r="X26" s="673">
        <f t="shared" si="5"/>
        <v>0</v>
      </c>
      <c r="Y26" s="718">
        <f t="shared" si="6"/>
        <v>150</v>
      </c>
      <c r="Z26" s="718">
        <f t="shared" si="7"/>
        <v>15683.333333333334</v>
      </c>
      <c r="AA26" s="874">
        <f t="shared" si="8"/>
        <v>18850</v>
      </c>
    </row>
    <row r="27" spans="1:27" x14ac:dyDescent="0.25">
      <c r="A27" s="428" t="s">
        <v>612</v>
      </c>
      <c r="B27" s="46"/>
      <c r="C27" s="52">
        <v>34000</v>
      </c>
      <c r="D27" s="720"/>
      <c r="E27" s="720"/>
      <c r="F27" s="720"/>
      <c r="G27" s="720">
        <f t="shared" si="1"/>
        <v>34000</v>
      </c>
      <c r="H27" s="720">
        <f t="shared" si="2"/>
        <v>25500</v>
      </c>
      <c r="I27" s="720">
        <f t="shared" si="3"/>
        <v>2833.3333333333335</v>
      </c>
      <c r="J27" s="718">
        <f t="shared" si="0"/>
        <v>28333.333333333332</v>
      </c>
      <c r="K27" s="48"/>
      <c r="L27" s="48"/>
      <c r="M27" s="673"/>
      <c r="N27" s="673">
        <v>4000</v>
      </c>
      <c r="O27" s="673"/>
      <c r="P27" s="673"/>
      <c r="Q27" s="673">
        <v>7600</v>
      </c>
      <c r="R27" s="48">
        <v>1000</v>
      </c>
      <c r="S27" s="48"/>
      <c r="T27" s="48"/>
      <c r="U27" s="48"/>
      <c r="V27" s="48"/>
      <c r="W27" s="673">
        <f t="shared" si="4"/>
        <v>12600</v>
      </c>
      <c r="X27" s="673">
        <f t="shared" si="5"/>
        <v>0</v>
      </c>
      <c r="Y27" s="718">
        <f t="shared" si="6"/>
        <v>12600</v>
      </c>
      <c r="Z27" s="718">
        <f t="shared" si="7"/>
        <v>15733.333333333332</v>
      </c>
      <c r="AA27" s="874">
        <f t="shared" si="8"/>
        <v>21400</v>
      </c>
    </row>
    <row r="28" spans="1:27" x14ac:dyDescent="0.25">
      <c r="A28" s="273" t="s">
        <v>234</v>
      </c>
      <c r="B28" s="134" t="s">
        <v>76</v>
      </c>
      <c r="C28" s="414"/>
      <c r="D28" s="414"/>
      <c r="E28" s="414"/>
      <c r="F28" s="414"/>
      <c r="G28" s="720">
        <f t="shared" si="1"/>
        <v>0</v>
      </c>
      <c r="H28" s="720">
        <f t="shared" si="2"/>
        <v>0</v>
      </c>
      <c r="I28" s="720">
        <f t="shared" si="3"/>
        <v>0</v>
      </c>
      <c r="J28" s="718">
        <f t="shared" si="0"/>
        <v>0</v>
      </c>
      <c r="K28" s="48"/>
      <c r="L28" s="48"/>
      <c r="M28" s="673"/>
      <c r="N28" s="673"/>
      <c r="O28" s="673"/>
      <c r="P28" s="673"/>
      <c r="Q28" s="673"/>
      <c r="R28" s="48"/>
      <c r="S28" s="48"/>
      <c r="T28" s="48"/>
      <c r="U28" s="48"/>
      <c r="V28" s="48"/>
      <c r="W28" s="673">
        <f t="shared" si="4"/>
        <v>0</v>
      </c>
      <c r="X28" s="673">
        <f t="shared" si="5"/>
        <v>0</v>
      </c>
      <c r="Y28" s="718">
        <f t="shared" si="6"/>
        <v>0</v>
      </c>
      <c r="Z28" s="718">
        <f t="shared" si="7"/>
        <v>0</v>
      </c>
      <c r="AA28" s="874">
        <f t="shared" si="8"/>
        <v>0</v>
      </c>
    </row>
    <row r="29" spans="1:27" x14ac:dyDescent="0.25">
      <c r="A29" s="383" t="s">
        <v>613</v>
      </c>
      <c r="B29" s="46"/>
      <c r="C29" s="414">
        <v>6000</v>
      </c>
      <c r="D29" s="414"/>
      <c r="E29" s="414"/>
      <c r="F29" s="414"/>
      <c r="G29" s="720">
        <f t="shared" si="1"/>
        <v>6000</v>
      </c>
      <c r="H29" s="720">
        <f t="shared" si="2"/>
        <v>4500</v>
      </c>
      <c r="I29" s="720">
        <f t="shared" si="3"/>
        <v>500</v>
      </c>
      <c r="J29" s="718">
        <f t="shared" si="0"/>
        <v>5000</v>
      </c>
      <c r="K29" s="48"/>
      <c r="L29" s="48"/>
      <c r="M29" s="673">
        <v>3994.94</v>
      </c>
      <c r="N29" s="673"/>
      <c r="O29" s="673"/>
      <c r="P29" s="673"/>
      <c r="Q29" s="673"/>
      <c r="R29" s="48"/>
      <c r="S29" s="48"/>
      <c r="T29" s="48"/>
      <c r="U29" s="48"/>
      <c r="V29" s="48"/>
      <c r="W29" s="673">
        <f t="shared" si="4"/>
        <v>3994.94</v>
      </c>
      <c r="X29" s="673">
        <f t="shared" si="5"/>
        <v>0</v>
      </c>
      <c r="Y29" s="718">
        <f t="shared" si="6"/>
        <v>3994.94</v>
      </c>
      <c r="Z29" s="718">
        <f t="shared" si="7"/>
        <v>1005.06</v>
      </c>
      <c r="AA29" s="874">
        <f t="shared" si="8"/>
        <v>2005.06</v>
      </c>
    </row>
    <row r="30" spans="1:27" x14ac:dyDescent="0.25">
      <c r="A30" s="429" t="s">
        <v>614</v>
      </c>
      <c r="B30" s="273"/>
      <c r="C30" s="414">
        <v>6000</v>
      </c>
      <c r="D30" s="414"/>
      <c r="E30" s="414"/>
      <c r="F30" s="414"/>
      <c r="G30" s="720">
        <f t="shared" si="1"/>
        <v>6000</v>
      </c>
      <c r="H30" s="720">
        <f t="shared" si="2"/>
        <v>4500</v>
      </c>
      <c r="I30" s="720">
        <f t="shared" si="3"/>
        <v>500</v>
      </c>
      <c r="J30" s="718">
        <f t="shared" si="0"/>
        <v>5000</v>
      </c>
      <c r="K30" s="48"/>
      <c r="L30" s="48"/>
      <c r="N30" s="673">
        <v>3000</v>
      </c>
      <c r="O30" s="673"/>
      <c r="P30" s="673">
        <v>3000</v>
      </c>
      <c r="Q30" s="673"/>
      <c r="R30" s="48"/>
      <c r="S30" s="48"/>
      <c r="T30" s="48"/>
      <c r="U30" s="48"/>
      <c r="V30" s="48"/>
      <c r="W30" s="673">
        <f t="shared" si="4"/>
        <v>6000</v>
      </c>
      <c r="X30" s="673">
        <f t="shared" si="5"/>
        <v>0</v>
      </c>
      <c r="Y30" s="718">
        <f t="shared" si="6"/>
        <v>6000</v>
      </c>
      <c r="Z30" s="718">
        <f t="shared" si="7"/>
        <v>-1000</v>
      </c>
      <c r="AA30" s="874">
        <f t="shared" si="8"/>
        <v>0</v>
      </c>
    </row>
    <row r="31" spans="1:27" x14ac:dyDescent="0.25">
      <c r="A31" s="429" t="s">
        <v>615</v>
      </c>
      <c r="B31" s="431"/>
      <c r="C31" s="414">
        <v>6000</v>
      </c>
      <c r="D31" s="414"/>
      <c r="E31" s="414"/>
      <c r="F31" s="414"/>
      <c r="G31" s="720">
        <f t="shared" si="1"/>
        <v>6000</v>
      </c>
      <c r="H31" s="720">
        <f t="shared" si="2"/>
        <v>4500</v>
      </c>
      <c r="I31" s="720">
        <f t="shared" si="3"/>
        <v>500</v>
      </c>
      <c r="J31" s="718">
        <f t="shared" si="0"/>
        <v>5000</v>
      </c>
      <c r="K31" s="48"/>
      <c r="L31" s="48"/>
      <c r="M31" s="673"/>
      <c r="N31" s="673"/>
      <c r="O31" s="673"/>
      <c r="P31" s="673"/>
      <c r="Q31" s="673"/>
      <c r="R31" s="48"/>
      <c r="S31" s="48"/>
      <c r="T31" s="48"/>
      <c r="U31" s="48"/>
      <c r="V31" s="48"/>
      <c r="W31" s="673">
        <f t="shared" si="4"/>
        <v>0</v>
      </c>
      <c r="X31" s="673">
        <f t="shared" si="5"/>
        <v>0</v>
      </c>
      <c r="Y31" s="718">
        <f t="shared" si="6"/>
        <v>0</v>
      </c>
      <c r="Z31" s="718">
        <f t="shared" si="7"/>
        <v>5000</v>
      </c>
      <c r="AA31" s="874">
        <f t="shared" si="8"/>
        <v>6000</v>
      </c>
    </row>
    <row r="32" spans="1:27" x14ac:dyDescent="0.25">
      <c r="A32" s="430" t="s">
        <v>257</v>
      </c>
      <c r="B32" s="407" t="s">
        <v>83</v>
      </c>
      <c r="C32" s="414">
        <v>11000</v>
      </c>
      <c r="D32" s="414"/>
      <c r="E32" s="414"/>
      <c r="F32" s="414"/>
      <c r="G32" s="720">
        <f t="shared" si="1"/>
        <v>11000</v>
      </c>
      <c r="H32" s="720">
        <f t="shared" si="2"/>
        <v>8250</v>
      </c>
      <c r="I32" s="720">
        <f t="shared" si="3"/>
        <v>916.66666666666663</v>
      </c>
      <c r="J32" s="718">
        <f t="shared" si="0"/>
        <v>9166.6666666666661</v>
      </c>
      <c r="K32" s="48"/>
      <c r="L32" s="48"/>
      <c r="M32" s="673"/>
      <c r="N32" s="673"/>
      <c r="O32" s="673"/>
      <c r="P32" s="673"/>
      <c r="Q32" s="673"/>
      <c r="R32" s="48"/>
      <c r="S32" s="48"/>
      <c r="T32" s="48"/>
      <c r="U32" s="48"/>
      <c r="V32" s="48"/>
      <c r="W32" s="673">
        <f t="shared" si="4"/>
        <v>0</v>
      </c>
      <c r="X32" s="673">
        <f t="shared" si="5"/>
        <v>0</v>
      </c>
      <c r="Y32" s="718">
        <f t="shared" si="6"/>
        <v>0</v>
      </c>
      <c r="Z32" s="718">
        <f t="shared" si="7"/>
        <v>9166.6666666666661</v>
      </c>
      <c r="AA32" s="874">
        <f t="shared" si="8"/>
        <v>11000</v>
      </c>
    </row>
    <row r="33" spans="1:27" x14ac:dyDescent="0.25">
      <c r="A33" s="273" t="s">
        <v>253</v>
      </c>
      <c r="B33" s="407" t="s">
        <v>93</v>
      </c>
      <c r="C33" s="414">
        <v>12000</v>
      </c>
      <c r="D33" s="414"/>
      <c r="E33" s="414"/>
      <c r="F33" s="414"/>
      <c r="G33" s="720">
        <f t="shared" si="1"/>
        <v>12000</v>
      </c>
      <c r="H33" s="720">
        <f t="shared" si="2"/>
        <v>9000</v>
      </c>
      <c r="I33" s="720">
        <f t="shared" si="3"/>
        <v>1000</v>
      </c>
      <c r="J33" s="718">
        <f t="shared" si="0"/>
        <v>10000</v>
      </c>
      <c r="K33" s="48"/>
      <c r="L33" s="48"/>
      <c r="M33" s="673">
        <v>3058</v>
      </c>
      <c r="N33" s="673"/>
      <c r="O33" s="708">
        <v>1050</v>
      </c>
      <c r="P33" s="673"/>
      <c r="Q33" s="673">
        <v>1700</v>
      </c>
      <c r="R33" s="48">
        <v>1400</v>
      </c>
      <c r="S33" s="673">
        <v>1525</v>
      </c>
      <c r="T33" s="48"/>
      <c r="U33" s="48"/>
      <c r="V33" s="48"/>
      <c r="W33" s="673">
        <f t="shared" si="4"/>
        <v>8733</v>
      </c>
      <c r="X33" s="673">
        <f t="shared" si="5"/>
        <v>0</v>
      </c>
      <c r="Y33" s="718">
        <f t="shared" si="6"/>
        <v>8733</v>
      </c>
      <c r="Z33" s="718">
        <f t="shared" si="7"/>
        <v>1267</v>
      </c>
      <c r="AA33" s="874">
        <f t="shared" si="8"/>
        <v>3267</v>
      </c>
    </row>
    <row r="34" spans="1:27" x14ac:dyDescent="0.25">
      <c r="A34" s="45"/>
      <c r="B34" s="46"/>
      <c r="C34" s="52"/>
      <c r="D34" s="720"/>
      <c r="E34" s="720"/>
      <c r="F34" s="720"/>
      <c r="G34" s="720">
        <f t="shared" si="1"/>
        <v>0</v>
      </c>
      <c r="H34" s="720">
        <f t="shared" si="2"/>
        <v>0</v>
      </c>
      <c r="I34" s="52">
        <f t="shared" ref="I34" si="9">G34/12</f>
        <v>0</v>
      </c>
      <c r="J34" s="43">
        <f t="shared" si="0"/>
        <v>0</v>
      </c>
      <c r="K34" s="48"/>
      <c r="L34" s="48"/>
      <c r="M34" s="673"/>
      <c r="N34" s="673"/>
      <c r="O34" s="673"/>
      <c r="P34" s="673"/>
      <c r="Q34" s="673"/>
      <c r="R34" s="48"/>
      <c r="S34" s="48"/>
      <c r="T34" s="48"/>
      <c r="U34" s="48"/>
      <c r="V34" s="48"/>
      <c r="W34" s="673">
        <f t="shared" si="4"/>
        <v>0</v>
      </c>
      <c r="X34" s="673">
        <f t="shared" si="5"/>
        <v>0</v>
      </c>
      <c r="Y34" s="718">
        <f t="shared" si="6"/>
        <v>0</v>
      </c>
      <c r="Z34" s="718">
        <f t="shared" si="7"/>
        <v>0</v>
      </c>
      <c r="AA34" s="874">
        <f t="shared" si="8"/>
        <v>0</v>
      </c>
    </row>
    <row r="35" spans="1:27" s="21" customFormat="1" x14ac:dyDescent="0.25">
      <c r="A35" s="110" t="s">
        <v>108</v>
      </c>
      <c r="B35" s="114"/>
      <c r="C35" s="78">
        <f>SUM(C8:C34)</f>
        <v>1484150</v>
      </c>
      <c r="D35" s="726">
        <f>SUM(D8:D34)</f>
        <v>0</v>
      </c>
      <c r="E35" s="726">
        <f t="shared" ref="E35:F35" si="10">SUM(E8:E34)</f>
        <v>5060</v>
      </c>
      <c r="F35" s="726">
        <f t="shared" si="10"/>
        <v>0</v>
      </c>
      <c r="G35" s="78">
        <f t="shared" ref="G35:AA35" si="11">SUM(G8:G34)</f>
        <v>1489210</v>
      </c>
      <c r="H35" s="78">
        <f t="shared" si="11"/>
        <v>1116907.5</v>
      </c>
      <c r="I35" s="78">
        <f t="shared" si="11"/>
        <v>124100.83333333333</v>
      </c>
      <c r="J35" s="78">
        <f t="shared" si="11"/>
        <v>1241008.333333333</v>
      </c>
      <c r="K35" s="78">
        <f t="shared" si="11"/>
        <v>49927.69</v>
      </c>
      <c r="L35" s="78">
        <f t="shared" si="11"/>
        <v>79821.460000000006</v>
      </c>
      <c r="M35" s="726">
        <f t="shared" si="11"/>
        <v>115197.28000000001</v>
      </c>
      <c r="N35" s="726">
        <f t="shared" si="11"/>
        <v>103656.61</v>
      </c>
      <c r="O35" s="726">
        <f t="shared" si="11"/>
        <v>102569.28</v>
      </c>
      <c r="P35" s="726">
        <f t="shared" si="11"/>
        <v>137933.38999999998</v>
      </c>
      <c r="Q35" s="726">
        <f t="shared" si="11"/>
        <v>88207.92</v>
      </c>
      <c r="R35" s="78">
        <f t="shared" si="11"/>
        <v>120980.48999999999</v>
      </c>
      <c r="S35" s="78">
        <f t="shared" si="11"/>
        <v>100225.98</v>
      </c>
      <c r="T35" s="78">
        <f t="shared" si="11"/>
        <v>84197.99</v>
      </c>
      <c r="U35" s="78">
        <f t="shared" si="11"/>
        <v>0</v>
      </c>
      <c r="V35" s="78">
        <f t="shared" si="11"/>
        <v>0</v>
      </c>
      <c r="W35" s="78">
        <f t="shared" si="11"/>
        <v>898520.09999999986</v>
      </c>
      <c r="X35" s="78">
        <f t="shared" si="11"/>
        <v>84197.99</v>
      </c>
      <c r="Y35" s="78">
        <f t="shared" si="11"/>
        <v>982718.08999999985</v>
      </c>
      <c r="Z35" s="78">
        <f t="shared" si="11"/>
        <v>258290.24333333343</v>
      </c>
      <c r="AA35" s="78">
        <f t="shared" si="11"/>
        <v>506491.91000000009</v>
      </c>
    </row>
    <row r="36" spans="1:27" x14ac:dyDescent="0.25">
      <c r="A36" s="110" t="s">
        <v>211</v>
      </c>
      <c r="B36" s="114"/>
      <c r="C36" s="78"/>
      <c r="D36" s="726"/>
      <c r="E36" s="726"/>
      <c r="F36" s="726"/>
      <c r="G36" s="78"/>
      <c r="H36" s="78"/>
      <c r="I36" s="78"/>
      <c r="J36" s="43"/>
      <c r="K36" s="48"/>
      <c r="L36" s="48"/>
      <c r="M36" s="673"/>
      <c r="N36" s="673"/>
      <c r="O36" s="673"/>
      <c r="P36" s="673"/>
      <c r="Q36" s="673"/>
      <c r="R36" s="48"/>
      <c r="S36" s="48"/>
      <c r="T36" s="48"/>
      <c r="U36" s="48"/>
      <c r="V36" s="48"/>
      <c r="W36" s="48"/>
      <c r="X36" s="48"/>
      <c r="Y36" s="77"/>
      <c r="Z36" s="43"/>
      <c r="AA36" s="48"/>
    </row>
    <row r="37" spans="1:27" x14ac:dyDescent="0.25">
      <c r="A37" s="110" t="s">
        <v>320</v>
      </c>
      <c r="B37" s="114"/>
      <c r="C37" s="78"/>
      <c r="D37" s="726"/>
      <c r="E37" s="726"/>
      <c r="F37" s="726"/>
      <c r="G37" s="78"/>
      <c r="H37" s="78"/>
      <c r="I37" s="78"/>
      <c r="J37" s="43"/>
      <c r="K37" s="48"/>
      <c r="L37" s="48"/>
      <c r="M37" s="673"/>
      <c r="N37" s="673"/>
      <c r="O37" s="673"/>
      <c r="P37" s="673"/>
      <c r="Q37" s="673"/>
      <c r="R37" s="48"/>
      <c r="S37" s="48"/>
      <c r="T37" s="48"/>
      <c r="U37" s="48"/>
      <c r="V37" s="48"/>
      <c r="W37" s="673">
        <f t="shared" ref="W37:W54" si="12">K37+L37+M37+N37+O37+P37+Q37+R37+S37</f>
        <v>0</v>
      </c>
      <c r="X37" s="673">
        <f t="shared" ref="X37:X54" si="13">T37</f>
        <v>0</v>
      </c>
      <c r="Y37" s="718">
        <f t="shared" ref="Y37:Y46" si="14">W37+X37</f>
        <v>0</v>
      </c>
      <c r="Z37" s="718">
        <f t="shared" ref="Z37:Z46" si="15">J37-Y37</f>
        <v>0</v>
      </c>
      <c r="AA37" s="874">
        <f t="shared" ref="AA37:AA46" si="16">G37-Y37</f>
        <v>0</v>
      </c>
    </row>
    <row r="38" spans="1:27" x14ac:dyDescent="0.25">
      <c r="A38" s="862" t="s">
        <v>439</v>
      </c>
      <c r="B38" s="863" t="s">
        <v>441</v>
      </c>
      <c r="C38" s="52"/>
      <c r="D38" s="720"/>
      <c r="E38" s="720"/>
      <c r="F38" s="720"/>
      <c r="G38" s="52"/>
      <c r="H38" s="52"/>
      <c r="I38" s="52"/>
      <c r="J38" s="43"/>
      <c r="K38" s="48"/>
      <c r="L38" s="48"/>
      <c r="M38" s="673"/>
      <c r="N38" s="673"/>
      <c r="O38" s="673"/>
      <c r="P38" s="673"/>
      <c r="Q38" s="673"/>
      <c r="R38" s="48"/>
      <c r="S38" s="48"/>
      <c r="T38" s="48"/>
      <c r="U38" s="48"/>
      <c r="V38" s="48"/>
      <c r="W38" s="673">
        <f t="shared" si="12"/>
        <v>0</v>
      </c>
      <c r="X38" s="673">
        <f t="shared" si="13"/>
        <v>0</v>
      </c>
      <c r="Y38" s="718">
        <f t="shared" si="14"/>
        <v>0</v>
      </c>
      <c r="Z38" s="718">
        <f t="shared" si="15"/>
        <v>0</v>
      </c>
      <c r="AA38" s="874">
        <f t="shared" si="16"/>
        <v>0</v>
      </c>
    </row>
    <row r="39" spans="1:27" x14ac:dyDescent="0.25">
      <c r="A39" s="865" t="s">
        <v>1105</v>
      </c>
      <c r="B39" s="863"/>
      <c r="C39" s="52">
        <v>600</v>
      </c>
      <c r="D39" s="720"/>
      <c r="E39" s="720"/>
      <c r="F39" s="720">
        <f>-600</f>
        <v>-600</v>
      </c>
      <c r="G39" s="720">
        <f t="shared" ref="G39:G46" si="17">SUM(C39:F39)</f>
        <v>0</v>
      </c>
      <c r="H39" s="52">
        <f>G39</f>
        <v>0</v>
      </c>
      <c r="I39" s="52">
        <f>G39</f>
        <v>0</v>
      </c>
      <c r="J39" s="43">
        <f t="shared" ref="J39:J46" si="18">G39</f>
        <v>0</v>
      </c>
      <c r="K39" s="48"/>
      <c r="L39" s="48"/>
      <c r="M39" s="673"/>
      <c r="N39" s="673"/>
      <c r="O39" s="673"/>
      <c r="P39" s="673"/>
      <c r="Q39" s="673"/>
      <c r="R39" s="48"/>
      <c r="S39" s="48"/>
      <c r="T39" s="48"/>
      <c r="U39" s="48"/>
      <c r="V39" s="48"/>
      <c r="W39" s="673">
        <f t="shared" si="12"/>
        <v>0</v>
      </c>
      <c r="X39" s="673">
        <f t="shared" si="13"/>
        <v>0</v>
      </c>
      <c r="Y39" s="718">
        <f t="shared" si="14"/>
        <v>0</v>
      </c>
      <c r="Z39" s="718">
        <f t="shared" si="15"/>
        <v>0</v>
      </c>
      <c r="AA39" s="874">
        <f t="shared" si="16"/>
        <v>0</v>
      </c>
    </row>
    <row r="40" spans="1:27" x14ac:dyDescent="0.25">
      <c r="A40" s="860" t="s">
        <v>607</v>
      </c>
      <c r="B40" s="866" t="s">
        <v>113</v>
      </c>
      <c r="C40" s="52"/>
      <c r="D40" s="720"/>
      <c r="E40" s="720"/>
      <c r="F40" s="720"/>
      <c r="G40" s="720">
        <f t="shared" si="17"/>
        <v>0</v>
      </c>
      <c r="H40" s="720">
        <f t="shared" ref="H40:H46" si="19">G40</f>
        <v>0</v>
      </c>
      <c r="I40" s="720">
        <f t="shared" ref="I40:I46" si="20">G40</f>
        <v>0</v>
      </c>
      <c r="J40" s="718">
        <f t="shared" si="18"/>
        <v>0</v>
      </c>
      <c r="K40" s="48"/>
      <c r="L40" s="48"/>
      <c r="M40" s="673"/>
      <c r="N40" s="673"/>
      <c r="O40" s="673"/>
      <c r="P40" s="673"/>
      <c r="Q40" s="673"/>
      <c r="R40" s="48"/>
      <c r="S40" s="48"/>
      <c r="T40" s="48"/>
      <c r="U40" s="48"/>
      <c r="V40" s="48"/>
      <c r="W40" s="673">
        <f t="shared" si="12"/>
        <v>0</v>
      </c>
      <c r="X40" s="673">
        <f t="shared" si="13"/>
        <v>0</v>
      </c>
      <c r="Y40" s="718">
        <f t="shared" si="14"/>
        <v>0</v>
      </c>
      <c r="Z40" s="718">
        <f t="shared" si="15"/>
        <v>0</v>
      </c>
      <c r="AA40" s="874">
        <f t="shared" si="16"/>
        <v>0</v>
      </c>
    </row>
    <row r="41" spans="1:27" x14ac:dyDescent="0.25">
      <c r="A41" s="864" t="s">
        <v>619</v>
      </c>
      <c r="B41" s="861"/>
      <c r="C41" s="52">
        <v>15000</v>
      </c>
      <c r="D41" s="720"/>
      <c r="E41" s="720"/>
      <c r="F41" s="720"/>
      <c r="G41" s="720">
        <f t="shared" si="17"/>
        <v>15000</v>
      </c>
      <c r="H41" s="720">
        <f t="shared" si="19"/>
        <v>15000</v>
      </c>
      <c r="I41" s="720">
        <f t="shared" si="20"/>
        <v>15000</v>
      </c>
      <c r="J41" s="718">
        <f t="shared" si="18"/>
        <v>15000</v>
      </c>
      <c r="K41" s="48"/>
      <c r="L41" s="48"/>
      <c r="M41" s="673"/>
      <c r="N41" s="673"/>
      <c r="O41" s="673"/>
      <c r="P41" s="673"/>
      <c r="Q41" s="673"/>
      <c r="R41" s="48"/>
      <c r="S41" s="48"/>
      <c r="T41" s="48"/>
      <c r="U41" s="48"/>
      <c r="V41" s="48"/>
      <c r="W41" s="673">
        <f t="shared" si="12"/>
        <v>0</v>
      </c>
      <c r="X41" s="673">
        <f t="shared" si="13"/>
        <v>0</v>
      </c>
      <c r="Y41" s="718">
        <f t="shared" si="14"/>
        <v>0</v>
      </c>
      <c r="Z41" s="718">
        <f t="shared" si="15"/>
        <v>15000</v>
      </c>
      <c r="AA41" s="874">
        <f t="shared" si="16"/>
        <v>15000</v>
      </c>
    </row>
    <row r="42" spans="1:27" s="856" customFormat="1" x14ac:dyDescent="0.25">
      <c r="A42" s="860" t="s">
        <v>1106</v>
      </c>
      <c r="B42" s="866" t="s">
        <v>212</v>
      </c>
      <c r="C42" s="720"/>
      <c r="D42" s="720"/>
      <c r="E42" s="720"/>
      <c r="F42" s="720"/>
      <c r="G42" s="720">
        <f t="shared" si="17"/>
        <v>0</v>
      </c>
      <c r="H42" s="720">
        <f t="shared" si="19"/>
        <v>0</v>
      </c>
      <c r="I42" s="720">
        <f t="shared" si="20"/>
        <v>0</v>
      </c>
      <c r="J42" s="718">
        <f t="shared" si="18"/>
        <v>0</v>
      </c>
      <c r="K42" s="858"/>
      <c r="L42" s="858"/>
      <c r="M42" s="673"/>
      <c r="N42" s="673"/>
      <c r="O42" s="673"/>
      <c r="P42" s="673"/>
      <c r="Q42" s="673"/>
      <c r="R42" s="858"/>
      <c r="S42" s="858"/>
      <c r="T42" s="858"/>
      <c r="U42" s="858"/>
      <c r="V42" s="858"/>
      <c r="W42" s="673">
        <f t="shared" si="12"/>
        <v>0</v>
      </c>
      <c r="X42" s="673">
        <f t="shared" si="13"/>
        <v>0</v>
      </c>
      <c r="Y42" s="718">
        <f t="shared" si="14"/>
        <v>0</v>
      </c>
      <c r="Z42" s="718">
        <f t="shared" si="15"/>
        <v>0</v>
      </c>
      <c r="AA42" s="874">
        <f t="shared" si="16"/>
        <v>0</v>
      </c>
    </row>
    <row r="43" spans="1:27" s="856" customFormat="1" x14ac:dyDescent="0.25">
      <c r="A43" s="867" t="s">
        <v>1107</v>
      </c>
      <c r="B43" s="866"/>
      <c r="C43" s="720">
        <v>7000</v>
      </c>
      <c r="D43" s="720"/>
      <c r="E43" s="720"/>
      <c r="F43" s="720">
        <f>-7000</f>
        <v>-7000</v>
      </c>
      <c r="G43" s="720">
        <f t="shared" si="17"/>
        <v>0</v>
      </c>
      <c r="H43" s="720">
        <f t="shared" si="19"/>
        <v>0</v>
      </c>
      <c r="I43" s="720">
        <f t="shared" si="20"/>
        <v>0</v>
      </c>
      <c r="J43" s="718">
        <f t="shared" si="18"/>
        <v>0</v>
      </c>
      <c r="K43" s="858"/>
      <c r="L43" s="858"/>
      <c r="M43" s="673"/>
      <c r="N43" s="673"/>
      <c r="O43" s="673"/>
      <c r="P43" s="673"/>
      <c r="Q43" s="673"/>
      <c r="R43" s="858"/>
      <c r="S43" s="858"/>
      <c r="T43" s="858"/>
      <c r="U43" s="858"/>
      <c r="V43" s="858"/>
      <c r="W43" s="673">
        <f t="shared" si="12"/>
        <v>0</v>
      </c>
      <c r="X43" s="673">
        <f t="shared" si="13"/>
        <v>0</v>
      </c>
      <c r="Y43" s="718">
        <f t="shared" si="14"/>
        <v>0</v>
      </c>
      <c r="Z43" s="718">
        <f t="shared" si="15"/>
        <v>0</v>
      </c>
      <c r="AA43" s="874">
        <f t="shared" si="16"/>
        <v>0</v>
      </c>
    </row>
    <row r="44" spans="1:27" s="856" customFormat="1" x14ac:dyDescent="0.25">
      <c r="A44" s="860" t="s">
        <v>1108</v>
      </c>
      <c r="B44" s="866" t="s">
        <v>275</v>
      </c>
      <c r="C44" s="720"/>
      <c r="D44" s="720"/>
      <c r="E44" s="720"/>
      <c r="F44" s="720"/>
      <c r="G44" s="720">
        <f t="shared" si="17"/>
        <v>0</v>
      </c>
      <c r="H44" s="720">
        <f t="shared" si="19"/>
        <v>0</v>
      </c>
      <c r="I44" s="720">
        <f t="shared" si="20"/>
        <v>0</v>
      </c>
      <c r="J44" s="718">
        <f t="shared" si="18"/>
        <v>0</v>
      </c>
      <c r="K44" s="858"/>
      <c r="L44" s="858"/>
      <c r="M44" s="673"/>
      <c r="N44" s="673"/>
      <c r="O44" s="673"/>
      <c r="P44" s="673"/>
      <c r="Q44" s="673"/>
      <c r="R44" s="858"/>
      <c r="S44" s="858"/>
      <c r="T44" s="858"/>
      <c r="U44" s="858"/>
      <c r="V44" s="858"/>
      <c r="W44" s="673">
        <f t="shared" si="12"/>
        <v>0</v>
      </c>
      <c r="X44" s="673">
        <f t="shared" si="13"/>
        <v>0</v>
      </c>
      <c r="Y44" s="718">
        <f t="shared" si="14"/>
        <v>0</v>
      </c>
      <c r="Z44" s="718">
        <f t="shared" si="15"/>
        <v>0</v>
      </c>
      <c r="AA44" s="874">
        <f t="shared" si="16"/>
        <v>0</v>
      </c>
    </row>
    <row r="45" spans="1:27" x14ac:dyDescent="0.25">
      <c r="A45" s="867" t="s">
        <v>1109</v>
      </c>
      <c r="B45" s="866"/>
      <c r="C45" s="52">
        <v>8500</v>
      </c>
      <c r="D45" s="720"/>
      <c r="E45" s="720"/>
      <c r="F45" s="720">
        <f>-8500</f>
        <v>-8500</v>
      </c>
      <c r="G45" s="720">
        <f t="shared" si="17"/>
        <v>0</v>
      </c>
      <c r="H45" s="720">
        <f t="shared" si="19"/>
        <v>0</v>
      </c>
      <c r="I45" s="720">
        <f t="shared" si="20"/>
        <v>0</v>
      </c>
      <c r="J45" s="718">
        <f t="shared" si="18"/>
        <v>0</v>
      </c>
      <c r="K45" s="48"/>
      <c r="L45" s="48"/>
      <c r="M45" s="673"/>
      <c r="N45" s="673"/>
      <c r="O45" s="673"/>
      <c r="P45" s="673"/>
      <c r="Q45" s="673"/>
      <c r="R45" s="48"/>
      <c r="S45" s="48"/>
      <c r="T45" s="48"/>
      <c r="U45" s="48"/>
      <c r="V45" s="48"/>
      <c r="W45" s="673">
        <f t="shared" si="12"/>
        <v>0</v>
      </c>
      <c r="X45" s="673">
        <f t="shared" si="13"/>
        <v>0</v>
      </c>
      <c r="Y45" s="718">
        <f t="shared" si="14"/>
        <v>0</v>
      </c>
      <c r="Z45" s="718">
        <f t="shared" si="15"/>
        <v>0</v>
      </c>
      <c r="AA45" s="874">
        <f t="shared" si="16"/>
        <v>0</v>
      </c>
    </row>
    <row r="46" spans="1:27" x14ac:dyDescent="0.25">
      <c r="A46" s="42"/>
      <c r="B46" s="46"/>
      <c r="C46" s="52"/>
      <c r="D46" s="720"/>
      <c r="E46" s="720"/>
      <c r="F46" s="720"/>
      <c r="G46" s="720">
        <f t="shared" si="17"/>
        <v>0</v>
      </c>
      <c r="H46" s="720">
        <f t="shared" si="19"/>
        <v>0</v>
      </c>
      <c r="I46" s="720">
        <f t="shared" si="20"/>
        <v>0</v>
      </c>
      <c r="J46" s="718">
        <f t="shared" si="18"/>
        <v>0</v>
      </c>
      <c r="K46" s="48"/>
      <c r="L46" s="48"/>
      <c r="M46" s="673"/>
      <c r="N46" s="673"/>
      <c r="O46" s="673"/>
      <c r="P46" s="673"/>
      <c r="Q46" s="673"/>
      <c r="R46" s="48"/>
      <c r="S46" s="48"/>
      <c r="T46" s="48"/>
      <c r="U46" s="48"/>
      <c r="V46" s="48"/>
      <c r="W46" s="673">
        <f t="shared" si="12"/>
        <v>0</v>
      </c>
      <c r="X46" s="673">
        <f t="shared" si="13"/>
        <v>0</v>
      </c>
      <c r="Y46" s="718">
        <f t="shared" si="14"/>
        <v>0</v>
      </c>
      <c r="Z46" s="718">
        <f t="shared" si="15"/>
        <v>0</v>
      </c>
      <c r="AA46" s="874">
        <f t="shared" si="16"/>
        <v>0</v>
      </c>
    </row>
    <row r="47" spans="1:27" s="745" customFormat="1" x14ac:dyDescent="0.25">
      <c r="A47" s="870" t="s">
        <v>331</v>
      </c>
      <c r="B47" s="810"/>
      <c r="C47" s="726">
        <f>SUM(C38:C46)</f>
        <v>31100</v>
      </c>
      <c r="D47" s="726">
        <f>SUM(D38:D46)</f>
        <v>0</v>
      </c>
      <c r="E47" s="726">
        <f t="shared" ref="E47:F47" si="21">SUM(E38:E46)</f>
        <v>0</v>
      </c>
      <c r="F47" s="726">
        <f t="shared" si="21"/>
        <v>-16100</v>
      </c>
      <c r="G47" s="726">
        <f t="shared" ref="G47:AA47" si="22">SUM(G38:G46)</f>
        <v>15000</v>
      </c>
      <c r="H47" s="726">
        <f t="shared" si="22"/>
        <v>15000</v>
      </c>
      <c r="I47" s="726">
        <f t="shared" si="22"/>
        <v>15000</v>
      </c>
      <c r="J47" s="726">
        <f t="shared" si="22"/>
        <v>15000</v>
      </c>
      <c r="K47" s="726">
        <f t="shared" si="22"/>
        <v>0</v>
      </c>
      <c r="L47" s="726">
        <f t="shared" si="22"/>
        <v>0</v>
      </c>
      <c r="M47" s="726">
        <f t="shared" si="22"/>
        <v>0</v>
      </c>
      <c r="N47" s="726">
        <f t="shared" si="22"/>
        <v>0</v>
      </c>
      <c r="O47" s="726">
        <f t="shared" si="22"/>
        <v>0</v>
      </c>
      <c r="P47" s="726">
        <f t="shared" si="22"/>
        <v>0</v>
      </c>
      <c r="Q47" s="726">
        <f t="shared" si="22"/>
        <v>0</v>
      </c>
      <c r="R47" s="726">
        <f t="shared" si="22"/>
        <v>0</v>
      </c>
      <c r="S47" s="726">
        <f>SUM(S38:S46)</f>
        <v>0</v>
      </c>
      <c r="T47" s="726">
        <f t="shared" si="22"/>
        <v>0</v>
      </c>
      <c r="U47" s="726">
        <f t="shared" si="22"/>
        <v>0</v>
      </c>
      <c r="V47" s="726">
        <f t="shared" si="22"/>
        <v>0</v>
      </c>
      <c r="W47" s="673">
        <f t="shared" si="12"/>
        <v>0</v>
      </c>
      <c r="X47" s="673">
        <f t="shared" si="13"/>
        <v>0</v>
      </c>
      <c r="Y47" s="726">
        <f t="shared" si="22"/>
        <v>0</v>
      </c>
      <c r="Z47" s="726">
        <f t="shared" si="22"/>
        <v>15000</v>
      </c>
      <c r="AA47" s="726">
        <f t="shared" si="22"/>
        <v>15000</v>
      </c>
    </row>
    <row r="48" spans="1:27" x14ac:dyDescent="0.25">
      <c r="A48" s="110" t="s">
        <v>319</v>
      </c>
      <c r="B48" s="46"/>
      <c r="C48" s="78"/>
      <c r="D48" s="726"/>
      <c r="E48" s="726"/>
      <c r="F48" s="726"/>
      <c r="G48" s="78"/>
      <c r="H48" s="78"/>
      <c r="I48" s="78"/>
      <c r="J48" s="43"/>
      <c r="K48" s="48"/>
      <c r="L48" s="48"/>
      <c r="M48" s="673"/>
      <c r="N48" s="673"/>
      <c r="O48" s="673"/>
      <c r="P48" s="673"/>
      <c r="Q48" s="673"/>
      <c r="R48" s="48"/>
      <c r="S48" s="48"/>
      <c r="T48" s="48"/>
      <c r="U48" s="48"/>
      <c r="V48" s="48"/>
      <c r="W48" s="673">
        <f t="shared" si="12"/>
        <v>0</v>
      </c>
      <c r="X48" s="673">
        <f t="shared" si="13"/>
        <v>0</v>
      </c>
      <c r="Y48" s="77"/>
      <c r="Z48" s="80"/>
      <c r="AA48" s="48"/>
    </row>
    <row r="49" spans="1:27" x14ac:dyDescent="0.25">
      <c r="A49" s="285" t="s">
        <v>616</v>
      </c>
      <c r="B49" s="46"/>
      <c r="C49" s="52"/>
      <c r="D49" s="720"/>
      <c r="E49" s="720"/>
      <c r="F49" s="720"/>
      <c r="G49" s="720">
        <f t="shared" ref="G49:G54" si="23">SUM(C49:F49)</f>
        <v>0</v>
      </c>
      <c r="H49" s="720">
        <f t="shared" ref="H49:H54" si="24">G49</f>
        <v>0</v>
      </c>
      <c r="I49" s="52">
        <f>C49</f>
        <v>0</v>
      </c>
      <c r="J49" s="4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73">
        <f t="shared" si="12"/>
        <v>0</v>
      </c>
      <c r="X49" s="673">
        <f t="shared" si="13"/>
        <v>0</v>
      </c>
      <c r="Y49" s="77"/>
      <c r="Z49" s="43"/>
      <c r="AA49" s="89"/>
    </row>
    <row r="50" spans="1:27" x14ac:dyDescent="0.25">
      <c r="A50" s="281" t="s">
        <v>617</v>
      </c>
      <c r="B50" s="46"/>
      <c r="C50" s="52">
        <v>40000</v>
      </c>
      <c r="D50" s="720">
        <f>80000</f>
        <v>80000</v>
      </c>
      <c r="E50" s="720"/>
      <c r="F50" s="720"/>
      <c r="G50" s="720">
        <f t="shared" si="23"/>
        <v>120000</v>
      </c>
      <c r="H50" s="720">
        <f t="shared" si="24"/>
        <v>120000</v>
      </c>
      <c r="I50" s="52">
        <f>G50</f>
        <v>120000</v>
      </c>
      <c r="J50" s="43">
        <f>G50</f>
        <v>120000</v>
      </c>
      <c r="K50" s="48"/>
      <c r="L50" s="48"/>
      <c r="M50" s="673"/>
      <c r="N50" s="673"/>
      <c r="O50" s="673"/>
      <c r="P50" s="673"/>
      <c r="Q50" s="673"/>
      <c r="R50" s="48"/>
      <c r="S50" s="48"/>
      <c r="T50" s="48"/>
      <c r="U50" s="48"/>
      <c r="V50" s="48"/>
      <c r="W50" s="673">
        <f t="shared" si="12"/>
        <v>0</v>
      </c>
      <c r="X50" s="673">
        <f t="shared" si="13"/>
        <v>0</v>
      </c>
      <c r="Y50" s="718">
        <f t="shared" ref="Y50:Y54" si="25">W50+X50</f>
        <v>0</v>
      </c>
      <c r="Z50" s="718">
        <f t="shared" ref="Z50:Z54" si="26">J50-Y50</f>
        <v>120000</v>
      </c>
      <c r="AA50" s="874">
        <f>G50-Y50</f>
        <v>120000</v>
      </c>
    </row>
    <row r="51" spans="1:27" x14ac:dyDescent="0.25">
      <c r="A51" s="432" t="s">
        <v>618</v>
      </c>
      <c r="B51" s="46"/>
      <c r="C51" s="52"/>
      <c r="D51" s="720"/>
      <c r="E51" s="720"/>
      <c r="F51" s="720"/>
      <c r="G51" s="720">
        <f t="shared" si="23"/>
        <v>0</v>
      </c>
      <c r="H51" s="720">
        <f t="shared" si="24"/>
        <v>0</v>
      </c>
      <c r="I51" s="52">
        <f t="shared" ref="I51:I54" si="27">G51</f>
        <v>0</v>
      </c>
      <c r="J51" s="43">
        <f>G51</f>
        <v>0</v>
      </c>
      <c r="K51" s="48"/>
      <c r="L51" s="48"/>
      <c r="M51" s="673"/>
      <c r="N51" s="673"/>
      <c r="O51" s="673"/>
      <c r="P51" s="673"/>
      <c r="Q51" s="673"/>
      <c r="R51" s="48"/>
      <c r="S51" s="48"/>
      <c r="T51" s="48"/>
      <c r="U51" s="48"/>
      <c r="V51" s="48"/>
      <c r="W51" s="673">
        <f t="shared" si="12"/>
        <v>0</v>
      </c>
      <c r="X51" s="673">
        <f t="shared" si="13"/>
        <v>0</v>
      </c>
      <c r="Y51" s="718">
        <f t="shared" si="25"/>
        <v>0</v>
      </c>
      <c r="Z51" s="718">
        <f t="shared" si="26"/>
        <v>0</v>
      </c>
      <c r="AA51" s="874">
        <f>G51-Y51</f>
        <v>0</v>
      </c>
    </row>
    <row r="52" spans="1:27" x14ac:dyDescent="0.25">
      <c r="A52" s="281" t="s">
        <v>442</v>
      </c>
      <c r="B52" s="46" t="s">
        <v>83</v>
      </c>
      <c r="C52" s="52">
        <f>8000+12800</f>
        <v>20800</v>
      </c>
      <c r="D52" s="720"/>
      <c r="E52" s="720"/>
      <c r="F52" s="720"/>
      <c r="G52" s="720">
        <f t="shared" si="23"/>
        <v>20800</v>
      </c>
      <c r="H52" s="720">
        <f t="shared" si="24"/>
        <v>20800</v>
      </c>
      <c r="I52" s="52">
        <f t="shared" si="27"/>
        <v>20800</v>
      </c>
      <c r="J52" s="43">
        <f>G52</f>
        <v>20800</v>
      </c>
      <c r="K52" s="48"/>
      <c r="L52" s="48"/>
      <c r="M52" s="673"/>
      <c r="N52" s="673"/>
      <c r="O52" s="673"/>
      <c r="P52" s="673"/>
      <c r="Q52" s="673"/>
      <c r="R52" s="48"/>
      <c r="S52" s="673">
        <v>18200</v>
      </c>
      <c r="T52" s="48"/>
      <c r="U52" s="48"/>
      <c r="V52" s="48"/>
      <c r="W52" s="673">
        <f t="shared" si="12"/>
        <v>18200</v>
      </c>
      <c r="X52" s="673">
        <f t="shared" si="13"/>
        <v>0</v>
      </c>
      <c r="Y52" s="718">
        <f t="shared" si="25"/>
        <v>18200</v>
      </c>
      <c r="Z52" s="718">
        <f t="shared" si="26"/>
        <v>2600</v>
      </c>
      <c r="AA52" s="874">
        <f>G52-Y52</f>
        <v>2600</v>
      </c>
    </row>
    <row r="53" spans="1:27" x14ac:dyDescent="0.25">
      <c r="A53" s="432" t="s">
        <v>607</v>
      </c>
      <c r="B53" s="46"/>
      <c r="C53" s="52"/>
      <c r="D53" s="720"/>
      <c r="E53" s="720"/>
      <c r="F53" s="720"/>
      <c r="G53" s="720">
        <f t="shared" si="23"/>
        <v>0</v>
      </c>
      <c r="H53" s="720">
        <f t="shared" si="24"/>
        <v>0</v>
      </c>
      <c r="I53" s="52">
        <f t="shared" si="27"/>
        <v>0</v>
      </c>
      <c r="J53" s="43">
        <f>G53</f>
        <v>0</v>
      </c>
      <c r="K53" s="48"/>
      <c r="L53" s="48"/>
      <c r="M53" s="673"/>
      <c r="N53" s="673"/>
      <c r="O53" s="673"/>
      <c r="P53" s="673"/>
      <c r="Q53" s="673"/>
      <c r="R53" s="48"/>
      <c r="S53" s="48"/>
      <c r="T53" s="48"/>
      <c r="U53" s="48"/>
      <c r="V53" s="48"/>
      <c r="W53" s="673">
        <f t="shared" si="12"/>
        <v>0</v>
      </c>
      <c r="X53" s="673">
        <f t="shared" si="13"/>
        <v>0</v>
      </c>
      <c r="Y53" s="718">
        <f t="shared" si="25"/>
        <v>0</v>
      </c>
      <c r="Z53" s="718">
        <f t="shared" si="26"/>
        <v>0</v>
      </c>
      <c r="AA53" s="874">
        <f>G53-Y53</f>
        <v>0</v>
      </c>
    </row>
    <row r="54" spans="1:27" x14ac:dyDescent="0.25">
      <c r="A54" s="281" t="s">
        <v>619</v>
      </c>
      <c r="B54" s="46"/>
      <c r="C54" s="52">
        <v>80000</v>
      </c>
      <c r="D54" s="720">
        <f>-80000</f>
        <v>-80000</v>
      </c>
      <c r="E54" s="720"/>
      <c r="F54" s="720"/>
      <c r="G54" s="720">
        <f t="shared" si="23"/>
        <v>0</v>
      </c>
      <c r="H54" s="720">
        <f t="shared" si="24"/>
        <v>0</v>
      </c>
      <c r="I54" s="52">
        <f t="shared" si="27"/>
        <v>0</v>
      </c>
      <c r="J54" s="43">
        <f>G54</f>
        <v>0</v>
      </c>
      <c r="K54" s="48"/>
      <c r="L54" s="48"/>
      <c r="M54" s="673"/>
      <c r="N54" s="673"/>
      <c r="O54" s="673"/>
      <c r="P54" s="673"/>
      <c r="Q54" s="673"/>
      <c r="R54" s="48"/>
      <c r="S54" s="48"/>
      <c r="T54" s="48"/>
      <c r="U54" s="48"/>
      <c r="V54" s="48"/>
      <c r="W54" s="673">
        <f t="shared" si="12"/>
        <v>0</v>
      </c>
      <c r="X54" s="673">
        <f t="shared" si="13"/>
        <v>0</v>
      </c>
      <c r="Y54" s="718">
        <f t="shared" si="25"/>
        <v>0</v>
      </c>
      <c r="Z54" s="718">
        <f t="shared" si="26"/>
        <v>0</v>
      </c>
      <c r="AA54" s="874">
        <f>G54-Y54</f>
        <v>0</v>
      </c>
    </row>
    <row r="55" spans="1:27" s="712" customFormat="1" x14ac:dyDescent="0.25">
      <c r="A55" s="110" t="s">
        <v>332</v>
      </c>
      <c r="B55" s="50" t="s">
        <v>93</v>
      </c>
      <c r="C55" s="726">
        <f>SUM(C49:C54)</f>
        <v>140800</v>
      </c>
      <c r="D55" s="726">
        <f>SUM(D49:D54)</f>
        <v>0</v>
      </c>
      <c r="E55" s="726">
        <f>SUM(E49:E54)</f>
        <v>0</v>
      </c>
      <c r="F55" s="726">
        <f>SUM(F49:F54)</f>
        <v>0</v>
      </c>
      <c r="G55" s="726">
        <f t="shared" ref="G55:Z55" si="28">SUM(G49:G54)</f>
        <v>140800</v>
      </c>
      <c r="H55" s="726">
        <f t="shared" si="28"/>
        <v>140800</v>
      </c>
      <c r="I55" s="726">
        <f t="shared" si="28"/>
        <v>140800</v>
      </c>
      <c r="J55" s="726">
        <f t="shared" si="28"/>
        <v>140800</v>
      </c>
      <c r="K55" s="726">
        <f t="shared" si="28"/>
        <v>0</v>
      </c>
      <c r="L55" s="726">
        <f t="shared" si="28"/>
        <v>0</v>
      </c>
      <c r="M55" s="726">
        <f t="shared" si="28"/>
        <v>0</v>
      </c>
      <c r="N55" s="726">
        <f t="shared" si="28"/>
        <v>0</v>
      </c>
      <c r="O55" s="726">
        <f t="shared" si="28"/>
        <v>0</v>
      </c>
      <c r="P55" s="726">
        <f t="shared" si="28"/>
        <v>0</v>
      </c>
      <c r="Q55" s="726">
        <f t="shared" si="28"/>
        <v>0</v>
      </c>
      <c r="R55" s="726">
        <f t="shared" si="28"/>
        <v>0</v>
      </c>
      <c r="S55" s="726">
        <f t="shared" si="28"/>
        <v>18200</v>
      </c>
      <c r="T55" s="726">
        <f t="shared" si="28"/>
        <v>0</v>
      </c>
      <c r="U55" s="726">
        <f t="shared" si="28"/>
        <v>0</v>
      </c>
      <c r="V55" s="726">
        <f t="shared" si="28"/>
        <v>0</v>
      </c>
      <c r="W55" s="726">
        <f t="shared" si="28"/>
        <v>18200</v>
      </c>
      <c r="X55" s="726">
        <f t="shared" si="28"/>
        <v>0</v>
      </c>
      <c r="Y55" s="726">
        <f t="shared" si="28"/>
        <v>18200</v>
      </c>
      <c r="Z55" s="726">
        <f t="shared" si="28"/>
        <v>122600</v>
      </c>
      <c r="AA55" s="726">
        <f>SUM(AA49:AA54)</f>
        <v>122600</v>
      </c>
    </row>
    <row r="56" spans="1:27" s="712" customFormat="1" x14ac:dyDescent="0.25">
      <c r="A56" s="110" t="s">
        <v>119</v>
      </c>
      <c r="B56" s="171"/>
      <c r="C56" s="726">
        <f t="shared" ref="C56:Z56" si="29">C47+C55</f>
        <v>171900</v>
      </c>
      <c r="D56" s="726">
        <f t="shared" ref="D56:E56" si="30">D47+D55</f>
        <v>0</v>
      </c>
      <c r="E56" s="726">
        <f t="shared" si="30"/>
        <v>0</v>
      </c>
      <c r="F56" s="726">
        <f t="shared" ref="F56" si="31">F47+F55</f>
        <v>-16100</v>
      </c>
      <c r="G56" s="726">
        <f t="shared" si="29"/>
        <v>155800</v>
      </c>
      <c r="H56" s="726">
        <f t="shared" si="29"/>
        <v>155800</v>
      </c>
      <c r="I56" s="726">
        <f t="shared" si="29"/>
        <v>155800</v>
      </c>
      <c r="J56" s="726">
        <f t="shared" si="29"/>
        <v>155800</v>
      </c>
      <c r="K56" s="726">
        <f t="shared" si="29"/>
        <v>0</v>
      </c>
      <c r="L56" s="726">
        <f t="shared" si="29"/>
        <v>0</v>
      </c>
      <c r="M56" s="726">
        <f t="shared" si="29"/>
        <v>0</v>
      </c>
      <c r="N56" s="726">
        <f t="shared" si="29"/>
        <v>0</v>
      </c>
      <c r="O56" s="726">
        <f t="shared" si="29"/>
        <v>0</v>
      </c>
      <c r="P56" s="726">
        <f t="shared" si="29"/>
        <v>0</v>
      </c>
      <c r="Q56" s="726">
        <f t="shared" si="29"/>
        <v>0</v>
      </c>
      <c r="R56" s="726">
        <f t="shared" si="29"/>
        <v>0</v>
      </c>
      <c r="S56" s="726">
        <f t="shared" si="29"/>
        <v>18200</v>
      </c>
      <c r="T56" s="726">
        <f t="shared" si="29"/>
        <v>0</v>
      </c>
      <c r="U56" s="726">
        <f t="shared" si="29"/>
        <v>0</v>
      </c>
      <c r="V56" s="726">
        <f t="shared" si="29"/>
        <v>0</v>
      </c>
      <c r="W56" s="726">
        <f t="shared" si="29"/>
        <v>18200</v>
      </c>
      <c r="X56" s="726">
        <f t="shared" si="29"/>
        <v>0</v>
      </c>
      <c r="Y56" s="726">
        <f t="shared" si="29"/>
        <v>18200</v>
      </c>
      <c r="Z56" s="726">
        <f t="shared" si="29"/>
        <v>137600</v>
      </c>
      <c r="AA56" s="726">
        <f>AA47+AA55</f>
        <v>137600</v>
      </c>
    </row>
    <row r="57" spans="1:27" s="712" customFormat="1" ht="15.75" thickBot="1" x14ac:dyDescent="0.3">
      <c r="A57" s="156" t="s">
        <v>160</v>
      </c>
      <c r="B57" s="157"/>
      <c r="C57" s="324">
        <f t="shared" ref="C57:Z57" si="32">C35+C56</f>
        <v>1656050</v>
      </c>
      <c r="D57" s="324">
        <f t="shared" ref="D57:E57" si="33">D35+D56</f>
        <v>0</v>
      </c>
      <c r="E57" s="324">
        <f t="shared" si="33"/>
        <v>5060</v>
      </c>
      <c r="F57" s="324">
        <f t="shared" ref="F57" si="34">F35+F56</f>
        <v>-16100</v>
      </c>
      <c r="G57" s="324">
        <f t="shared" si="32"/>
        <v>1645010</v>
      </c>
      <c r="H57" s="324">
        <f t="shared" si="32"/>
        <v>1272707.5</v>
      </c>
      <c r="I57" s="324">
        <f t="shared" si="32"/>
        <v>279900.83333333331</v>
      </c>
      <c r="J57" s="324">
        <f t="shared" si="32"/>
        <v>1396808.333333333</v>
      </c>
      <c r="K57" s="324">
        <f t="shared" si="32"/>
        <v>49927.69</v>
      </c>
      <c r="L57" s="324">
        <f t="shared" si="32"/>
        <v>79821.460000000006</v>
      </c>
      <c r="M57" s="324">
        <f t="shared" si="32"/>
        <v>115197.28000000001</v>
      </c>
      <c r="N57" s="324">
        <f t="shared" si="32"/>
        <v>103656.61</v>
      </c>
      <c r="O57" s="324">
        <f t="shared" si="32"/>
        <v>102569.28</v>
      </c>
      <c r="P57" s="324">
        <f t="shared" si="32"/>
        <v>137933.38999999998</v>
      </c>
      <c r="Q57" s="324">
        <f t="shared" si="32"/>
        <v>88207.92</v>
      </c>
      <c r="R57" s="324">
        <f t="shared" si="32"/>
        <v>120980.48999999999</v>
      </c>
      <c r="S57" s="324">
        <f t="shared" si="32"/>
        <v>118425.98</v>
      </c>
      <c r="T57" s="324">
        <f t="shared" si="32"/>
        <v>84197.99</v>
      </c>
      <c r="U57" s="324">
        <f t="shared" si="32"/>
        <v>0</v>
      </c>
      <c r="V57" s="324">
        <f t="shared" si="32"/>
        <v>0</v>
      </c>
      <c r="W57" s="324">
        <f t="shared" si="32"/>
        <v>916720.09999999986</v>
      </c>
      <c r="X57" s="324">
        <f t="shared" si="32"/>
        <v>84197.99</v>
      </c>
      <c r="Y57" s="324">
        <f t="shared" si="32"/>
        <v>1000918.0899999999</v>
      </c>
      <c r="Z57" s="324">
        <f t="shared" si="32"/>
        <v>395890.2433333334</v>
      </c>
      <c r="AA57" s="324">
        <f>AA35+AA56</f>
        <v>644091.91000000015</v>
      </c>
    </row>
    <row r="58" spans="1:27" ht="15.75" thickTop="1" x14ac:dyDescent="0.25"/>
    <row r="59" spans="1:27" x14ac:dyDescent="0.25">
      <c r="A59" t="s">
        <v>354</v>
      </c>
      <c r="B59" s="30"/>
      <c r="C59" s="35"/>
      <c r="D59" s="35"/>
      <c r="E59" s="35"/>
      <c r="F59" s="35"/>
      <c r="G59" s="35"/>
      <c r="H59" s="35"/>
      <c r="I59" s="35"/>
      <c r="Z59" s="259" t="s">
        <v>357</v>
      </c>
    </row>
    <row r="62" spans="1:27" x14ac:dyDescent="0.25">
      <c r="B62" s="32"/>
      <c r="C62" s="36"/>
      <c r="D62" s="36"/>
      <c r="E62" s="36"/>
      <c r="F62" s="36"/>
      <c r="G62" s="36"/>
      <c r="H62" s="36"/>
      <c r="I62" s="36"/>
    </row>
    <row r="63" spans="1:27" x14ac:dyDescent="0.25">
      <c r="A63" s="258" t="s">
        <v>355</v>
      </c>
      <c r="B63" s="14"/>
      <c r="C63" s="31"/>
      <c r="D63" s="31"/>
      <c r="E63" s="31"/>
      <c r="F63" s="31"/>
      <c r="G63" s="31"/>
      <c r="H63" s="31"/>
      <c r="I63" s="31"/>
      <c r="Z63" s="260" t="s">
        <v>358</v>
      </c>
    </row>
    <row r="64" spans="1:27" x14ac:dyDescent="0.25">
      <c r="A64" s="259" t="s">
        <v>356</v>
      </c>
      <c r="Z64" s="259" t="s">
        <v>359</v>
      </c>
    </row>
  </sheetData>
  <mergeCells count="3">
    <mergeCell ref="A1:Y1"/>
    <mergeCell ref="A2:Y2"/>
    <mergeCell ref="A3:Y3"/>
  </mergeCells>
  <printOptions horizontalCentered="1" verticalCentered="1" headings="1"/>
  <pageMargins left="0.7" right="0.2" top="0.75" bottom="0.25" header="0.3" footer="0.3"/>
  <pageSetup paperSize="5" scale="66" orientation="landscape" r:id="rId1"/>
  <rowBreaks count="1" manualBreakCount="1">
    <brk id="3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9"/>
  <sheetViews>
    <sheetView view="pageBreakPreview" topLeftCell="A43" zoomScale="89" zoomScaleNormal="100" zoomScaleSheetLayoutView="89" workbookViewId="0">
      <pane xSplit="1" topLeftCell="Y1" activePane="topRight" state="frozen"/>
      <selection pane="topRight" activeCell="A52" sqref="A52"/>
    </sheetView>
  </sheetViews>
  <sheetFormatPr defaultRowHeight="15" outlineLevelCol="1" x14ac:dyDescent="0.25"/>
  <cols>
    <col min="1" max="1" width="47.140625" style="987" customWidth="1"/>
    <col min="2" max="8" width="12.7109375" style="987" customWidth="1"/>
    <col min="9" max="9" width="15.5703125" style="987" hidden="1" customWidth="1" outlineLevel="1"/>
    <col min="10" max="13" width="12.7109375" style="303" hidden="1" customWidth="1" outlineLevel="1"/>
    <col min="14" max="14" width="12.7109375" style="987" hidden="1" customWidth="1" outlineLevel="1"/>
    <col min="15" max="15" width="14.7109375" style="987" hidden="1" customWidth="1" outlineLevel="1"/>
    <col min="16" max="19" width="12.7109375" style="987" hidden="1" customWidth="1" outlineLevel="1"/>
    <col min="20" max="20" width="11" style="987" hidden="1" customWidth="1" outlineLevel="1"/>
    <col min="21" max="21" width="16" style="303" customWidth="1" collapsed="1"/>
    <col min="22" max="22" width="14.5703125" style="987" customWidth="1"/>
    <col min="23" max="24" width="12.7109375" style="987" customWidth="1"/>
    <col min="25" max="25" width="14" style="987" customWidth="1"/>
    <col min="26" max="16384" width="9.140625" style="987"/>
  </cols>
  <sheetData>
    <row r="1" spans="1:27" x14ac:dyDescent="0.25">
      <c r="A1" s="1432" t="s">
        <v>352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1432"/>
      <c r="M1" s="1432"/>
      <c r="N1" s="1432"/>
      <c r="O1" s="1432"/>
      <c r="P1" s="1432"/>
      <c r="Q1" s="1432"/>
      <c r="R1" s="1432"/>
      <c r="S1" s="1432"/>
      <c r="T1" s="1432"/>
      <c r="U1" s="1432"/>
      <c r="V1" s="1432"/>
      <c r="W1" s="1432"/>
      <c r="X1" s="1432"/>
      <c r="Y1" s="1432"/>
    </row>
    <row r="2" spans="1:27" x14ac:dyDescent="0.25">
      <c r="A2" s="1432" t="s">
        <v>353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1432"/>
      <c r="Y2" s="1432"/>
    </row>
    <row r="3" spans="1:27" x14ac:dyDescent="0.25">
      <c r="A3" s="1434" t="str">
        <f>'1016-SBO'!A3:AH3</f>
        <v>For the Period October 1-31, 2021</v>
      </c>
      <c r="B3" s="1435"/>
      <c r="C3" s="1435"/>
      <c r="D3" s="1435"/>
      <c r="E3" s="1435"/>
      <c r="F3" s="1435"/>
      <c r="G3" s="1435"/>
      <c r="H3" s="1435"/>
      <c r="I3" s="1435"/>
      <c r="J3" s="1435"/>
      <c r="K3" s="1435"/>
      <c r="L3" s="1435"/>
      <c r="M3" s="1435"/>
      <c r="N3" s="1435"/>
      <c r="O3" s="1435"/>
      <c r="P3" s="1435"/>
      <c r="Q3" s="1435"/>
      <c r="R3" s="1435"/>
      <c r="S3" s="1435"/>
      <c r="T3" s="1435"/>
      <c r="U3" s="1435"/>
      <c r="V3" s="1435"/>
      <c r="W3" s="1435"/>
      <c r="X3" s="1435"/>
      <c r="Y3" s="1435"/>
    </row>
    <row r="4" spans="1:27" x14ac:dyDescent="0.25">
      <c r="A4" s="71" t="s">
        <v>347</v>
      </c>
      <c r="B4" s="980" t="s">
        <v>2</v>
      </c>
      <c r="C4" s="38" t="s">
        <v>133</v>
      </c>
      <c r="D4" s="71" t="s">
        <v>1373</v>
      </c>
      <c r="E4" s="38" t="s">
        <v>1</v>
      </c>
      <c r="F4" s="38" t="s">
        <v>316</v>
      </c>
      <c r="G4" s="38" t="s">
        <v>314</v>
      </c>
      <c r="H4" s="41" t="s">
        <v>346</v>
      </c>
      <c r="I4" s="39"/>
      <c r="J4" s="39"/>
      <c r="K4" s="39"/>
      <c r="L4" s="39"/>
      <c r="M4" s="990"/>
      <c r="N4" s="990"/>
      <c r="O4" s="990"/>
      <c r="P4" s="990"/>
      <c r="Q4" s="990"/>
      <c r="R4" s="990"/>
      <c r="S4" s="990"/>
      <c r="T4" s="990"/>
      <c r="U4" s="41" t="s">
        <v>316</v>
      </c>
      <c r="V4" s="41" t="s">
        <v>348</v>
      </c>
      <c r="W4" s="41" t="s">
        <v>1</v>
      </c>
      <c r="X4" s="41" t="s">
        <v>131</v>
      </c>
      <c r="Y4" s="41" t="s">
        <v>131</v>
      </c>
      <c r="Z4" s="747"/>
    </row>
    <row r="5" spans="1:27" x14ac:dyDescent="0.25">
      <c r="A5" s="721"/>
      <c r="B5" s="980" t="s">
        <v>3</v>
      </c>
      <c r="C5" s="38" t="s">
        <v>134</v>
      </c>
      <c r="D5" s="1104">
        <v>44459</v>
      </c>
      <c r="E5" s="38" t="s">
        <v>314</v>
      </c>
      <c r="F5" s="38" t="s">
        <v>314</v>
      </c>
      <c r="G5" s="38" t="s">
        <v>315</v>
      </c>
      <c r="H5" s="41" t="s">
        <v>315</v>
      </c>
      <c r="I5" s="41" t="s">
        <v>0</v>
      </c>
      <c r="J5" s="41" t="s">
        <v>120</v>
      </c>
      <c r="K5" s="41" t="s">
        <v>121</v>
      </c>
      <c r="L5" s="41" t="s">
        <v>122</v>
      </c>
      <c r="M5" s="41" t="s">
        <v>123</v>
      </c>
      <c r="N5" s="41" t="s">
        <v>124</v>
      </c>
      <c r="O5" s="41" t="s">
        <v>125</v>
      </c>
      <c r="P5" s="41" t="s">
        <v>126</v>
      </c>
      <c r="Q5" s="41" t="s">
        <v>127</v>
      </c>
      <c r="R5" s="41" t="s">
        <v>128</v>
      </c>
      <c r="S5" s="41" t="s">
        <v>129</v>
      </c>
      <c r="T5" s="41" t="s">
        <v>130</v>
      </c>
      <c r="U5" s="41" t="s">
        <v>317</v>
      </c>
      <c r="V5" s="41" t="s">
        <v>315</v>
      </c>
      <c r="W5" s="41" t="s">
        <v>317</v>
      </c>
      <c r="X5" s="722" t="s">
        <v>314</v>
      </c>
      <c r="Y5" s="722" t="s">
        <v>132</v>
      </c>
    </row>
    <row r="6" spans="1:27" x14ac:dyDescent="0.25">
      <c r="A6" s="319" t="s">
        <v>363</v>
      </c>
      <c r="B6" s="937"/>
      <c r="C6" s="937"/>
      <c r="D6" s="937"/>
      <c r="E6" s="937"/>
      <c r="F6" s="937"/>
      <c r="G6" s="937"/>
      <c r="H6" s="937"/>
      <c r="I6" s="937"/>
      <c r="J6" s="997"/>
      <c r="K6" s="997"/>
      <c r="L6" s="997"/>
      <c r="M6" s="997"/>
      <c r="N6" s="937"/>
      <c r="O6" s="937"/>
      <c r="P6" s="937"/>
      <c r="Q6" s="937"/>
      <c r="R6" s="937"/>
      <c r="S6" s="937"/>
      <c r="T6" s="937"/>
      <c r="U6" s="997"/>
      <c r="V6" s="937"/>
      <c r="W6" s="937"/>
      <c r="X6" s="937"/>
      <c r="Y6" s="937"/>
    </row>
    <row r="7" spans="1:27" x14ac:dyDescent="0.25">
      <c r="A7" s="136" t="s">
        <v>191</v>
      </c>
      <c r="B7" s="137"/>
      <c r="C7" s="937"/>
      <c r="D7" s="937"/>
      <c r="E7" s="937"/>
      <c r="F7" s="937"/>
      <c r="G7" s="937"/>
      <c r="H7" s="937"/>
      <c r="I7" s="937"/>
      <c r="J7" s="997"/>
      <c r="K7" s="997"/>
      <c r="L7" s="997"/>
      <c r="M7" s="997"/>
      <c r="N7" s="937"/>
      <c r="O7" s="937"/>
      <c r="P7" s="937"/>
      <c r="Q7" s="937"/>
      <c r="R7" s="937"/>
      <c r="S7" s="937"/>
      <c r="T7" s="937"/>
      <c r="U7" s="997"/>
      <c r="V7" s="997"/>
      <c r="W7" s="990"/>
      <c r="X7" s="989"/>
      <c r="Y7" s="937"/>
    </row>
    <row r="8" spans="1:27" x14ac:dyDescent="0.25">
      <c r="A8" s="126" t="s">
        <v>192</v>
      </c>
      <c r="B8" s="134" t="s">
        <v>43</v>
      </c>
      <c r="C8" s="720"/>
      <c r="D8" s="720"/>
      <c r="E8" s="720"/>
      <c r="F8" s="720"/>
      <c r="G8" s="720">
        <f>E8/12</f>
        <v>0</v>
      </c>
      <c r="H8" s="989">
        <f>F8+G8</f>
        <v>0</v>
      </c>
      <c r="I8" s="937"/>
      <c r="J8" s="997"/>
      <c r="K8" s="997"/>
      <c r="L8" s="997"/>
      <c r="M8" s="997"/>
      <c r="N8" s="937"/>
      <c r="O8" s="937"/>
      <c r="P8" s="937"/>
      <c r="Q8" s="937"/>
      <c r="R8" s="937"/>
      <c r="S8" s="937"/>
      <c r="T8" s="937"/>
      <c r="U8" s="997"/>
      <c r="V8" s="997"/>
      <c r="W8" s="989">
        <f t="shared" ref="W8" si="0">U8+V8</f>
        <v>0</v>
      </c>
      <c r="X8" s="989">
        <f>H8-W8</f>
        <v>0</v>
      </c>
      <c r="Y8" s="996">
        <f>E8-W8</f>
        <v>0</v>
      </c>
    </row>
    <row r="9" spans="1:27" x14ac:dyDescent="0.25">
      <c r="A9" s="138" t="s">
        <v>193</v>
      </c>
      <c r="B9" s="134"/>
      <c r="C9" s="720">
        <f>100000</f>
        <v>100000</v>
      </c>
      <c r="D9" s="720"/>
      <c r="E9" s="720">
        <f>SUM(C9:D9)</f>
        <v>100000</v>
      </c>
      <c r="F9" s="720">
        <f>E9/12*9</f>
        <v>75000</v>
      </c>
      <c r="G9" s="720">
        <f>E9/12</f>
        <v>8333.3333333333339</v>
      </c>
      <c r="H9" s="989">
        <f>F9+G9</f>
        <v>83333.333333333328</v>
      </c>
      <c r="I9" s="937"/>
      <c r="J9" s="997"/>
      <c r="K9" s="997">
        <v>2480</v>
      </c>
      <c r="L9" s="997">
        <v>2360</v>
      </c>
      <c r="M9" s="997"/>
      <c r="N9" s="937"/>
      <c r="O9" s="937">
        <v>1240</v>
      </c>
      <c r="P9" s="937">
        <v>26160</v>
      </c>
      <c r="Q9" s="937"/>
      <c r="R9" s="937"/>
      <c r="S9" s="937"/>
      <c r="T9" s="937"/>
      <c r="U9" s="997">
        <f>I9+J9+K9+L9+M9+N9+O9+P9+Q9</f>
        <v>32240</v>
      </c>
      <c r="V9" s="997">
        <f>R9</f>
        <v>0</v>
      </c>
      <c r="W9" s="989">
        <f>U9+V9</f>
        <v>32240</v>
      </c>
      <c r="X9" s="989">
        <f t="shared" ref="X9:X59" si="1">H9-W9</f>
        <v>51093.333333333328</v>
      </c>
      <c r="Y9" s="996">
        <f>E9-W9</f>
        <v>67760</v>
      </c>
    </row>
    <row r="10" spans="1:27" x14ac:dyDescent="0.25">
      <c r="A10" s="142" t="s">
        <v>194</v>
      </c>
      <c r="B10" s="134" t="s">
        <v>140</v>
      </c>
      <c r="C10" s="720"/>
      <c r="D10" s="720"/>
      <c r="E10" s="720">
        <f t="shared" ref="E10:E64" si="2">SUM(C10:D10)</f>
        <v>0</v>
      </c>
      <c r="F10" s="720">
        <f t="shared" ref="F10:F64" si="3">E10/12*9</f>
        <v>0</v>
      </c>
      <c r="G10" s="720"/>
      <c r="H10" s="989"/>
      <c r="I10" s="937"/>
      <c r="J10" s="997"/>
      <c r="K10" s="997"/>
      <c r="L10" s="997"/>
      <c r="M10" s="997"/>
      <c r="N10" s="937"/>
      <c r="O10" s="937"/>
      <c r="P10" s="937"/>
      <c r="Q10" s="937"/>
      <c r="R10" s="937"/>
      <c r="S10" s="937"/>
      <c r="T10" s="937"/>
      <c r="U10" s="997">
        <f t="shared" ref="U10:U64" si="4">I10+J10+K10+L10+M10+N10+O10+P10+Q10</f>
        <v>0</v>
      </c>
      <c r="V10" s="997">
        <f t="shared" ref="V10:V64" si="5">R10</f>
        <v>0</v>
      </c>
      <c r="W10" s="989">
        <f t="shared" ref="W10:W64" si="6">U10+V10</f>
        <v>0</v>
      </c>
      <c r="X10" s="989"/>
      <c r="Y10" s="996"/>
    </row>
    <row r="11" spans="1:27" x14ac:dyDescent="0.25">
      <c r="A11" s="349" t="s">
        <v>458</v>
      </c>
      <c r="B11" s="134"/>
      <c r="C11" s="720">
        <f>150000</f>
        <v>150000</v>
      </c>
      <c r="D11" s="720"/>
      <c r="E11" s="720">
        <f t="shared" si="2"/>
        <v>150000</v>
      </c>
      <c r="F11" s="720">
        <f t="shared" si="3"/>
        <v>112500</v>
      </c>
      <c r="G11" s="720">
        <f t="shared" ref="G11:G59" si="7">E11/12</f>
        <v>12500</v>
      </c>
      <c r="H11" s="989">
        <f t="shared" ref="H11:H29" si="8">F11+G11</f>
        <v>125000</v>
      </c>
      <c r="I11" s="937"/>
      <c r="J11" s="997"/>
      <c r="K11" s="997"/>
      <c r="L11" s="997"/>
      <c r="M11" s="997"/>
      <c r="N11" s="937"/>
      <c r="O11" s="937"/>
      <c r="P11" s="937"/>
      <c r="Q11" s="937"/>
      <c r="R11" s="937"/>
      <c r="S11" s="937"/>
      <c r="T11" s="937"/>
      <c r="U11" s="997">
        <f t="shared" si="4"/>
        <v>0</v>
      </c>
      <c r="V11" s="997">
        <f t="shared" si="5"/>
        <v>0</v>
      </c>
      <c r="W11" s="989">
        <f t="shared" si="6"/>
        <v>0</v>
      </c>
      <c r="X11" s="989">
        <f t="shared" si="1"/>
        <v>125000</v>
      </c>
      <c r="Y11" s="1274">
        <f t="shared" ref="Y11:Y64" si="9">E11-W11</f>
        <v>150000</v>
      </c>
      <c r="AA11" s="1429">
        <v>150000</v>
      </c>
    </row>
    <row r="12" spans="1:27" x14ac:dyDescent="0.25">
      <c r="A12" s="349" t="s">
        <v>195</v>
      </c>
      <c r="B12" s="134"/>
      <c r="C12" s="720"/>
      <c r="D12" s="720"/>
      <c r="E12" s="720">
        <f t="shared" si="2"/>
        <v>0</v>
      </c>
      <c r="F12" s="720">
        <f t="shared" si="3"/>
        <v>0</v>
      </c>
      <c r="G12" s="720">
        <f t="shared" si="7"/>
        <v>0</v>
      </c>
      <c r="H12" s="989">
        <f t="shared" si="8"/>
        <v>0</v>
      </c>
      <c r="I12" s="937"/>
      <c r="J12" s="997"/>
      <c r="K12" s="997"/>
      <c r="L12" s="997"/>
      <c r="M12" s="997"/>
      <c r="N12" s="937"/>
      <c r="O12" s="937"/>
      <c r="P12" s="937"/>
      <c r="Q12" s="937"/>
      <c r="R12" s="937"/>
      <c r="S12" s="937"/>
      <c r="T12" s="937"/>
      <c r="U12" s="997">
        <f t="shared" si="4"/>
        <v>0</v>
      </c>
      <c r="V12" s="997">
        <f t="shared" si="5"/>
        <v>0</v>
      </c>
      <c r="W12" s="989">
        <f t="shared" si="6"/>
        <v>0</v>
      </c>
      <c r="X12" s="989">
        <f t="shared" si="1"/>
        <v>0</v>
      </c>
      <c r="Y12" s="996">
        <f t="shared" si="9"/>
        <v>0</v>
      </c>
    </row>
    <row r="13" spans="1:27" x14ac:dyDescent="0.25">
      <c r="A13" s="349" t="s">
        <v>196</v>
      </c>
      <c r="B13" s="134"/>
      <c r="C13" s="720">
        <v>110000</v>
      </c>
      <c r="D13" s="720"/>
      <c r="E13" s="720">
        <f t="shared" si="2"/>
        <v>110000</v>
      </c>
      <c r="F13" s="720">
        <f t="shared" si="3"/>
        <v>82500</v>
      </c>
      <c r="G13" s="720">
        <f t="shared" si="7"/>
        <v>9166.6666666666661</v>
      </c>
      <c r="H13" s="989">
        <f t="shared" si="8"/>
        <v>91666.666666666672</v>
      </c>
      <c r="I13" s="937"/>
      <c r="J13" s="997"/>
      <c r="K13" s="997"/>
      <c r="L13" s="997"/>
      <c r="M13" s="997"/>
      <c r="N13" s="937"/>
      <c r="O13" s="937"/>
      <c r="P13" s="937"/>
      <c r="Q13" s="937"/>
      <c r="R13" s="937"/>
      <c r="S13" s="937"/>
      <c r="T13" s="937"/>
      <c r="U13" s="997">
        <f t="shared" si="4"/>
        <v>0</v>
      </c>
      <c r="V13" s="997">
        <f t="shared" si="5"/>
        <v>0</v>
      </c>
      <c r="W13" s="989">
        <f t="shared" si="6"/>
        <v>0</v>
      </c>
      <c r="X13" s="989">
        <f t="shared" si="1"/>
        <v>91666.666666666672</v>
      </c>
      <c r="Y13" s="1275">
        <f t="shared" si="9"/>
        <v>110000</v>
      </c>
      <c r="AA13" s="987">
        <v>110000</v>
      </c>
    </row>
    <row r="14" spans="1:27" x14ac:dyDescent="0.25">
      <c r="A14" s="139" t="s">
        <v>459</v>
      </c>
      <c r="B14" s="134"/>
      <c r="C14" s="720"/>
      <c r="D14" s="720"/>
      <c r="E14" s="720">
        <f t="shared" si="2"/>
        <v>0</v>
      </c>
      <c r="F14" s="720">
        <f t="shared" si="3"/>
        <v>0</v>
      </c>
      <c r="G14" s="720">
        <f t="shared" si="7"/>
        <v>0</v>
      </c>
      <c r="H14" s="989">
        <f t="shared" si="8"/>
        <v>0</v>
      </c>
      <c r="I14" s="937"/>
      <c r="J14" s="997"/>
      <c r="K14" s="997"/>
      <c r="L14" s="997"/>
      <c r="M14" s="997"/>
      <c r="N14" s="937"/>
      <c r="O14" s="937"/>
      <c r="P14" s="937"/>
      <c r="Q14" s="937"/>
      <c r="R14" s="937"/>
      <c r="S14" s="937"/>
      <c r="T14" s="937"/>
      <c r="U14" s="997">
        <f t="shared" si="4"/>
        <v>0</v>
      </c>
      <c r="V14" s="997">
        <f t="shared" si="5"/>
        <v>0</v>
      </c>
      <c r="W14" s="989">
        <f t="shared" si="6"/>
        <v>0</v>
      </c>
      <c r="X14" s="989">
        <f t="shared" si="1"/>
        <v>0</v>
      </c>
      <c r="Y14" s="996">
        <f t="shared" si="9"/>
        <v>0</v>
      </c>
    </row>
    <row r="15" spans="1:27" x14ac:dyDescent="0.25">
      <c r="A15" s="353" t="s">
        <v>460</v>
      </c>
      <c r="B15" s="134"/>
      <c r="C15" s="720">
        <v>50000</v>
      </c>
      <c r="D15" s="720"/>
      <c r="E15" s="720">
        <f t="shared" si="2"/>
        <v>50000</v>
      </c>
      <c r="F15" s="720">
        <f t="shared" si="3"/>
        <v>37500</v>
      </c>
      <c r="G15" s="720">
        <f t="shared" si="7"/>
        <v>4166.666666666667</v>
      </c>
      <c r="H15" s="989">
        <f t="shared" si="8"/>
        <v>41666.666666666664</v>
      </c>
      <c r="I15" s="937"/>
      <c r="J15" s="997"/>
      <c r="K15" s="997"/>
      <c r="L15" s="997"/>
      <c r="M15" s="997"/>
      <c r="N15" s="937"/>
      <c r="O15" s="937"/>
      <c r="P15" s="937">
        <v>50000</v>
      </c>
      <c r="Q15" s="937"/>
      <c r="R15" s="937"/>
      <c r="S15" s="937"/>
      <c r="T15" s="937"/>
      <c r="U15" s="997">
        <f t="shared" si="4"/>
        <v>50000</v>
      </c>
      <c r="V15" s="997">
        <f t="shared" si="5"/>
        <v>0</v>
      </c>
      <c r="W15" s="989">
        <f t="shared" si="6"/>
        <v>50000</v>
      </c>
      <c r="X15" s="989">
        <f t="shared" si="1"/>
        <v>-8333.3333333333358</v>
      </c>
      <c r="Y15" s="996">
        <f t="shared" si="9"/>
        <v>0</v>
      </c>
    </row>
    <row r="16" spans="1:27" x14ac:dyDescent="0.25">
      <c r="A16" s="353" t="s">
        <v>461</v>
      </c>
      <c r="B16" s="134"/>
      <c r="C16" s="720">
        <v>50000</v>
      </c>
      <c r="D16" s="720"/>
      <c r="E16" s="720">
        <f t="shared" si="2"/>
        <v>50000</v>
      </c>
      <c r="F16" s="720">
        <f t="shared" si="3"/>
        <v>37500</v>
      </c>
      <c r="G16" s="720">
        <f t="shared" si="7"/>
        <v>4166.666666666667</v>
      </c>
      <c r="H16" s="989">
        <f t="shared" si="8"/>
        <v>41666.666666666664</v>
      </c>
      <c r="I16" s="937"/>
      <c r="J16" s="997"/>
      <c r="K16" s="997">
        <v>22366</v>
      </c>
      <c r="L16" s="997"/>
      <c r="M16" s="997"/>
      <c r="N16" s="937"/>
      <c r="O16" s="937"/>
      <c r="P16" s="937"/>
      <c r="Q16" s="937"/>
      <c r="R16" s="937">
        <v>27634</v>
      </c>
      <c r="S16" s="937"/>
      <c r="T16" s="937"/>
      <c r="U16" s="997">
        <f t="shared" si="4"/>
        <v>22366</v>
      </c>
      <c r="V16" s="997">
        <f t="shared" si="5"/>
        <v>27634</v>
      </c>
      <c r="W16" s="989">
        <f t="shared" si="6"/>
        <v>50000</v>
      </c>
      <c r="X16" s="989">
        <f t="shared" si="1"/>
        <v>-8333.3333333333358</v>
      </c>
      <c r="Y16" s="996">
        <f t="shared" si="9"/>
        <v>0</v>
      </c>
    </row>
    <row r="17" spans="1:27" x14ac:dyDescent="0.25">
      <c r="A17" s="353" t="s">
        <v>462</v>
      </c>
      <c r="B17" s="134"/>
      <c r="C17" s="720">
        <v>50000</v>
      </c>
      <c r="D17" s="720"/>
      <c r="E17" s="720">
        <f t="shared" si="2"/>
        <v>50000</v>
      </c>
      <c r="F17" s="720">
        <f t="shared" si="3"/>
        <v>37500</v>
      </c>
      <c r="G17" s="720">
        <f t="shared" si="7"/>
        <v>4166.666666666667</v>
      </c>
      <c r="H17" s="989">
        <f t="shared" si="8"/>
        <v>41666.666666666664</v>
      </c>
      <c r="I17" s="937"/>
      <c r="J17" s="997"/>
      <c r="K17" s="997">
        <f>40034+9966</f>
        <v>50000</v>
      </c>
      <c r="L17" s="997"/>
      <c r="M17" s="997"/>
      <c r="N17" s="937"/>
      <c r="O17" s="937"/>
      <c r="P17" s="937"/>
      <c r="Q17" s="937"/>
      <c r="R17" s="937"/>
      <c r="S17" s="937"/>
      <c r="T17" s="937"/>
      <c r="U17" s="997">
        <f t="shared" si="4"/>
        <v>50000</v>
      </c>
      <c r="V17" s="997">
        <f t="shared" si="5"/>
        <v>0</v>
      </c>
      <c r="W17" s="989">
        <f t="shared" si="6"/>
        <v>50000</v>
      </c>
      <c r="X17" s="989">
        <f t="shared" si="1"/>
        <v>-8333.3333333333358</v>
      </c>
      <c r="Y17" s="996">
        <f t="shared" si="9"/>
        <v>0</v>
      </c>
    </row>
    <row r="18" spans="1:27" x14ac:dyDescent="0.25">
      <c r="A18" s="353" t="s">
        <v>463</v>
      </c>
      <c r="B18" s="134"/>
      <c r="C18" s="720">
        <v>50000</v>
      </c>
      <c r="D18" s="720">
        <v>33683.370000000003</v>
      </c>
      <c r="E18" s="720">
        <f>SUM(C18:D18)</f>
        <v>83683.37</v>
      </c>
      <c r="F18" s="720">
        <f t="shared" si="3"/>
        <v>62762.527499999997</v>
      </c>
      <c r="G18" s="720">
        <f t="shared" si="7"/>
        <v>6973.6141666666663</v>
      </c>
      <c r="H18" s="989">
        <f t="shared" si="8"/>
        <v>69736.141666666663</v>
      </c>
      <c r="I18" s="937"/>
      <c r="J18" s="997"/>
      <c r="K18" s="997"/>
      <c r="L18" s="997"/>
      <c r="M18" s="997"/>
      <c r="N18" s="937"/>
      <c r="O18" s="937"/>
      <c r="P18" s="937">
        <f>16300+9996</f>
        <v>26296</v>
      </c>
      <c r="Q18" s="937"/>
      <c r="R18" s="937">
        <v>39566</v>
      </c>
      <c r="S18" s="937"/>
      <c r="T18" s="937"/>
      <c r="U18" s="997">
        <f t="shared" si="4"/>
        <v>26296</v>
      </c>
      <c r="V18" s="997">
        <f t="shared" si="5"/>
        <v>39566</v>
      </c>
      <c r="W18" s="989">
        <f t="shared" si="6"/>
        <v>65862</v>
      </c>
      <c r="X18" s="989">
        <f t="shared" si="1"/>
        <v>3874.1416666666628</v>
      </c>
      <c r="Y18" s="996">
        <f t="shared" si="9"/>
        <v>17821.369999999995</v>
      </c>
    </row>
    <row r="19" spans="1:27" x14ac:dyDescent="0.25">
      <c r="A19" s="139" t="s">
        <v>464</v>
      </c>
      <c r="B19" s="134"/>
      <c r="C19" s="720">
        <f>85000</f>
        <v>85000</v>
      </c>
      <c r="D19" s="720"/>
      <c r="E19" s="720">
        <f t="shared" si="2"/>
        <v>85000</v>
      </c>
      <c r="F19" s="720">
        <f t="shared" si="3"/>
        <v>63750</v>
      </c>
      <c r="G19" s="720">
        <f t="shared" si="7"/>
        <v>7083.333333333333</v>
      </c>
      <c r="H19" s="989">
        <f t="shared" si="8"/>
        <v>70833.333333333328</v>
      </c>
      <c r="I19" s="937"/>
      <c r="J19" s="997"/>
      <c r="K19" s="997"/>
      <c r="L19" s="997"/>
      <c r="M19" s="997"/>
      <c r="N19" s="937"/>
      <c r="O19" s="937"/>
      <c r="P19" s="937"/>
      <c r="Q19" s="937"/>
      <c r="R19" s="937"/>
      <c r="S19" s="937"/>
      <c r="T19" s="937"/>
      <c r="U19" s="997">
        <f t="shared" si="4"/>
        <v>0</v>
      </c>
      <c r="V19" s="997">
        <f t="shared" si="5"/>
        <v>0</v>
      </c>
      <c r="W19" s="989">
        <f t="shared" si="6"/>
        <v>0</v>
      </c>
      <c r="X19" s="989">
        <f t="shared" si="1"/>
        <v>70833.333333333328</v>
      </c>
      <c r="Y19" s="1274">
        <f t="shared" si="9"/>
        <v>85000</v>
      </c>
      <c r="AA19" s="987">
        <v>85000</v>
      </c>
    </row>
    <row r="20" spans="1:27" x14ac:dyDescent="0.25">
      <c r="A20" s="139" t="s">
        <v>465</v>
      </c>
      <c r="B20" s="134"/>
      <c r="C20" s="720">
        <f>40000</f>
        <v>40000</v>
      </c>
      <c r="D20" s="720"/>
      <c r="E20" s="720">
        <f t="shared" si="2"/>
        <v>40000</v>
      </c>
      <c r="F20" s="720">
        <f t="shared" si="3"/>
        <v>30000</v>
      </c>
      <c r="G20" s="720">
        <f t="shared" si="7"/>
        <v>3333.3333333333335</v>
      </c>
      <c r="H20" s="989">
        <f t="shared" si="8"/>
        <v>33333.333333333336</v>
      </c>
      <c r="I20" s="937"/>
      <c r="J20" s="997"/>
      <c r="K20" s="997"/>
      <c r="L20" s="997"/>
      <c r="M20" s="997"/>
      <c r="N20" s="937"/>
      <c r="O20" s="937"/>
      <c r="P20" s="937"/>
      <c r="Q20" s="937"/>
      <c r="R20" s="937"/>
      <c r="S20" s="937"/>
      <c r="T20" s="937"/>
      <c r="U20" s="997">
        <f t="shared" si="4"/>
        <v>0</v>
      </c>
      <c r="V20" s="997">
        <f t="shared" si="5"/>
        <v>0</v>
      </c>
      <c r="W20" s="989">
        <f t="shared" si="6"/>
        <v>0</v>
      </c>
      <c r="X20" s="989">
        <f t="shared" si="1"/>
        <v>33333.333333333336</v>
      </c>
      <c r="Y20" s="1274">
        <f t="shared" si="9"/>
        <v>40000</v>
      </c>
      <c r="AA20" s="987">
        <v>40000</v>
      </c>
    </row>
    <row r="21" spans="1:27" x14ac:dyDescent="0.25">
      <c r="A21" s="349" t="s">
        <v>466</v>
      </c>
      <c r="B21" s="134"/>
      <c r="C21" s="720">
        <f>50000</f>
        <v>50000</v>
      </c>
      <c r="D21" s="720"/>
      <c r="E21" s="720">
        <f t="shared" si="2"/>
        <v>50000</v>
      </c>
      <c r="F21" s="720">
        <f t="shared" si="3"/>
        <v>37500</v>
      </c>
      <c r="G21" s="720">
        <f t="shared" si="7"/>
        <v>4166.666666666667</v>
      </c>
      <c r="H21" s="989">
        <f t="shared" si="8"/>
        <v>41666.666666666664</v>
      </c>
      <c r="I21" s="937"/>
      <c r="J21" s="997"/>
      <c r="K21" s="997"/>
      <c r="L21" s="997"/>
      <c r="M21" s="997"/>
      <c r="N21" s="937"/>
      <c r="O21" s="937"/>
      <c r="P21" s="937"/>
      <c r="Q21" s="937"/>
      <c r="R21" s="937"/>
      <c r="S21" s="937"/>
      <c r="T21" s="937"/>
      <c r="U21" s="997">
        <f t="shared" si="4"/>
        <v>0</v>
      </c>
      <c r="V21" s="997">
        <f t="shared" si="5"/>
        <v>0</v>
      </c>
      <c r="W21" s="989">
        <f t="shared" si="6"/>
        <v>0</v>
      </c>
      <c r="X21" s="989">
        <f t="shared" si="1"/>
        <v>41666.666666666664</v>
      </c>
      <c r="Y21" s="996">
        <f t="shared" si="9"/>
        <v>50000</v>
      </c>
    </row>
    <row r="22" spans="1:27" x14ac:dyDescent="0.25">
      <c r="A22" s="55" t="s">
        <v>467</v>
      </c>
      <c r="B22" s="134" t="s">
        <v>273</v>
      </c>
      <c r="C22" s="720">
        <v>0</v>
      </c>
      <c r="D22" s="720"/>
      <c r="E22" s="720">
        <f t="shared" si="2"/>
        <v>0</v>
      </c>
      <c r="F22" s="720">
        <f t="shared" si="3"/>
        <v>0</v>
      </c>
      <c r="G22" s="720">
        <f t="shared" si="7"/>
        <v>0</v>
      </c>
      <c r="H22" s="989">
        <f t="shared" si="8"/>
        <v>0</v>
      </c>
      <c r="I22" s="937"/>
      <c r="J22" s="997"/>
      <c r="K22" s="997"/>
      <c r="L22" s="997"/>
      <c r="M22" s="997"/>
      <c r="N22" s="937"/>
      <c r="O22" s="937"/>
      <c r="P22" s="937"/>
      <c r="Q22" s="937"/>
      <c r="R22" s="937"/>
      <c r="S22" s="937"/>
      <c r="T22" s="937"/>
      <c r="U22" s="997">
        <f t="shared" si="4"/>
        <v>0</v>
      </c>
      <c r="V22" s="997">
        <f t="shared" si="5"/>
        <v>0</v>
      </c>
      <c r="W22" s="989">
        <f t="shared" si="6"/>
        <v>0</v>
      </c>
      <c r="X22" s="989">
        <f t="shared" si="1"/>
        <v>0</v>
      </c>
      <c r="Y22" s="996">
        <f t="shared" si="9"/>
        <v>0</v>
      </c>
    </row>
    <row r="23" spans="1:27" x14ac:dyDescent="0.25">
      <c r="A23" s="139" t="s">
        <v>468</v>
      </c>
      <c r="B23" s="134"/>
      <c r="C23" s="720">
        <f>100000</f>
        <v>100000</v>
      </c>
      <c r="D23" s="720"/>
      <c r="E23" s="720">
        <f t="shared" si="2"/>
        <v>100000</v>
      </c>
      <c r="F23" s="720">
        <f t="shared" si="3"/>
        <v>75000</v>
      </c>
      <c r="G23" s="720">
        <f t="shared" si="7"/>
        <v>8333.3333333333339</v>
      </c>
      <c r="H23" s="989">
        <f t="shared" si="8"/>
        <v>83333.333333333328</v>
      </c>
      <c r="I23" s="937"/>
      <c r="J23" s="997"/>
      <c r="K23" s="997"/>
      <c r="L23" s="997"/>
      <c r="M23" s="997"/>
      <c r="N23" s="937"/>
      <c r="O23" s="937"/>
      <c r="P23" s="937"/>
      <c r="Q23" s="937"/>
      <c r="R23" s="937"/>
      <c r="S23" s="937"/>
      <c r="T23" s="937"/>
      <c r="U23" s="997">
        <f t="shared" si="4"/>
        <v>0</v>
      </c>
      <c r="V23" s="997">
        <f t="shared" si="5"/>
        <v>0</v>
      </c>
      <c r="W23" s="989">
        <f t="shared" si="6"/>
        <v>0</v>
      </c>
      <c r="X23" s="989">
        <f t="shared" si="1"/>
        <v>83333.333333333328</v>
      </c>
      <c r="Y23" s="996">
        <f t="shared" si="9"/>
        <v>100000</v>
      </c>
    </row>
    <row r="24" spans="1:27" x14ac:dyDescent="0.25">
      <c r="A24" s="354" t="s">
        <v>469</v>
      </c>
      <c r="B24" s="134" t="s">
        <v>279</v>
      </c>
      <c r="C24" s="720"/>
      <c r="D24" s="720"/>
      <c r="E24" s="720">
        <f t="shared" si="2"/>
        <v>0</v>
      </c>
      <c r="F24" s="720">
        <f t="shared" si="3"/>
        <v>0</v>
      </c>
      <c r="G24" s="720">
        <f t="shared" si="7"/>
        <v>0</v>
      </c>
      <c r="H24" s="989">
        <f t="shared" si="8"/>
        <v>0</v>
      </c>
      <c r="I24" s="937"/>
      <c r="J24" s="997"/>
      <c r="K24" s="997"/>
      <c r="L24" s="997"/>
      <c r="M24" s="997"/>
      <c r="N24" s="937"/>
      <c r="O24" s="937"/>
      <c r="P24" s="937"/>
      <c r="Q24" s="937"/>
      <c r="R24" s="937"/>
      <c r="S24" s="937"/>
      <c r="T24" s="937"/>
      <c r="U24" s="997">
        <f t="shared" si="4"/>
        <v>0</v>
      </c>
      <c r="V24" s="997">
        <f t="shared" si="5"/>
        <v>0</v>
      </c>
      <c r="W24" s="989">
        <f t="shared" si="6"/>
        <v>0</v>
      </c>
      <c r="X24" s="989">
        <f t="shared" si="1"/>
        <v>0</v>
      </c>
      <c r="Y24" s="996">
        <f t="shared" si="9"/>
        <v>0</v>
      </c>
    </row>
    <row r="25" spans="1:27" x14ac:dyDescent="0.25">
      <c r="A25" s="349" t="s">
        <v>470</v>
      </c>
      <c r="B25" s="134"/>
      <c r="C25" s="720">
        <v>100000</v>
      </c>
      <c r="D25" s="720"/>
      <c r="E25" s="720">
        <f t="shared" si="2"/>
        <v>100000</v>
      </c>
      <c r="F25" s="720">
        <f t="shared" si="3"/>
        <v>75000</v>
      </c>
      <c r="G25" s="720">
        <f t="shared" si="7"/>
        <v>8333.3333333333339</v>
      </c>
      <c r="H25" s="989">
        <f t="shared" si="8"/>
        <v>83333.333333333328</v>
      </c>
      <c r="I25" s="937"/>
      <c r="J25" s="997"/>
      <c r="K25" s="997"/>
      <c r="L25" s="997"/>
      <c r="M25" s="997"/>
      <c r="N25" s="937"/>
      <c r="O25" s="937"/>
      <c r="P25" s="937"/>
      <c r="Q25" s="937"/>
      <c r="R25" s="937"/>
      <c r="S25" s="937"/>
      <c r="T25" s="937"/>
      <c r="U25" s="997">
        <f t="shared" si="4"/>
        <v>0</v>
      </c>
      <c r="V25" s="997">
        <f t="shared" si="5"/>
        <v>0</v>
      </c>
      <c r="W25" s="989">
        <f t="shared" si="6"/>
        <v>0</v>
      </c>
      <c r="X25" s="989">
        <f t="shared" si="1"/>
        <v>83333.333333333328</v>
      </c>
      <c r="Y25" s="1274">
        <f t="shared" si="9"/>
        <v>100000</v>
      </c>
      <c r="AA25" s="987">
        <v>100000</v>
      </c>
    </row>
    <row r="26" spans="1:27" x14ac:dyDescent="0.25">
      <c r="A26" s="349" t="s">
        <v>472</v>
      </c>
      <c r="B26" s="134"/>
      <c r="C26" s="720">
        <f>50000</f>
        <v>50000</v>
      </c>
      <c r="D26" s="720"/>
      <c r="E26" s="720">
        <f t="shared" si="2"/>
        <v>50000</v>
      </c>
      <c r="F26" s="720">
        <f t="shared" si="3"/>
        <v>37500</v>
      </c>
      <c r="G26" s="720">
        <f t="shared" si="7"/>
        <v>4166.666666666667</v>
      </c>
      <c r="H26" s="989">
        <f t="shared" si="8"/>
        <v>41666.666666666664</v>
      </c>
      <c r="I26" s="937"/>
      <c r="J26" s="997"/>
      <c r="K26" s="997"/>
      <c r="L26" s="997"/>
      <c r="M26" s="997"/>
      <c r="N26" s="937"/>
      <c r="O26" s="937"/>
      <c r="P26" s="937"/>
      <c r="Q26" s="937"/>
      <c r="R26" s="937"/>
      <c r="S26" s="937"/>
      <c r="T26" s="937"/>
      <c r="U26" s="997">
        <f t="shared" si="4"/>
        <v>0</v>
      </c>
      <c r="V26" s="997">
        <f t="shared" si="5"/>
        <v>0</v>
      </c>
      <c r="W26" s="989">
        <f t="shared" si="6"/>
        <v>0</v>
      </c>
      <c r="X26" s="989">
        <f t="shared" si="1"/>
        <v>41666.666666666664</v>
      </c>
      <c r="Y26" s="996">
        <f t="shared" si="9"/>
        <v>50000</v>
      </c>
    </row>
    <row r="27" spans="1:27" ht="25.5" x14ac:dyDescent="0.25">
      <c r="A27" s="349" t="s">
        <v>471</v>
      </c>
      <c r="B27" s="134"/>
      <c r="C27" s="720">
        <f>100000</f>
        <v>100000</v>
      </c>
      <c r="D27" s="720"/>
      <c r="E27" s="720">
        <f t="shared" si="2"/>
        <v>100000</v>
      </c>
      <c r="F27" s="720">
        <f t="shared" si="3"/>
        <v>75000</v>
      </c>
      <c r="G27" s="720">
        <f t="shared" si="7"/>
        <v>8333.3333333333339</v>
      </c>
      <c r="H27" s="989">
        <f t="shared" si="8"/>
        <v>83333.333333333328</v>
      </c>
      <c r="I27" s="937"/>
      <c r="J27" s="997"/>
      <c r="K27" s="997"/>
      <c r="L27" s="997"/>
      <c r="M27" s="997"/>
      <c r="N27" s="937"/>
      <c r="O27" s="937"/>
      <c r="P27" s="937"/>
      <c r="Q27" s="937"/>
      <c r="R27" s="937">
        <v>96170</v>
      </c>
      <c r="S27" s="937"/>
      <c r="T27" s="937">
        <v>96170</v>
      </c>
      <c r="U27" s="997">
        <f t="shared" si="4"/>
        <v>0</v>
      </c>
      <c r="V27" s="997">
        <f t="shared" si="5"/>
        <v>96170</v>
      </c>
      <c r="W27" s="989">
        <f t="shared" si="6"/>
        <v>96170</v>
      </c>
      <c r="X27" s="989">
        <f t="shared" si="1"/>
        <v>-12836.666666666672</v>
      </c>
      <c r="Y27" s="996">
        <f t="shared" si="9"/>
        <v>3830</v>
      </c>
    </row>
    <row r="28" spans="1:27" x14ac:dyDescent="0.25">
      <c r="A28" s="349" t="s">
        <v>473</v>
      </c>
      <c r="B28" s="134"/>
      <c r="C28" s="720">
        <v>10000</v>
      </c>
      <c r="D28" s="720"/>
      <c r="E28" s="720">
        <f t="shared" si="2"/>
        <v>10000</v>
      </c>
      <c r="F28" s="720">
        <f t="shared" si="3"/>
        <v>7500</v>
      </c>
      <c r="G28" s="720">
        <f t="shared" si="7"/>
        <v>833.33333333333337</v>
      </c>
      <c r="H28" s="989">
        <f t="shared" si="8"/>
        <v>8333.3333333333339</v>
      </c>
      <c r="I28" s="937"/>
      <c r="J28" s="997"/>
      <c r="K28" s="997"/>
      <c r="L28" s="997"/>
      <c r="M28" s="997"/>
      <c r="N28" s="937"/>
      <c r="O28" s="937"/>
      <c r="P28" s="937"/>
      <c r="Q28" s="937"/>
      <c r="R28" s="937"/>
      <c r="S28" s="937"/>
      <c r="T28" s="937"/>
      <c r="U28" s="997">
        <f t="shared" si="4"/>
        <v>0</v>
      </c>
      <c r="V28" s="997">
        <f t="shared" si="5"/>
        <v>0</v>
      </c>
      <c r="W28" s="989">
        <f t="shared" si="6"/>
        <v>0</v>
      </c>
      <c r="X28" s="989">
        <f t="shared" si="1"/>
        <v>8333.3333333333339</v>
      </c>
      <c r="Y28" s="996">
        <f t="shared" si="9"/>
        <v>10000</v>
      </c>
    </row>
    <row r="29" spans="1:27" x14ac:dyDescent="0.25">
      <c r="A29" s="140" t="s">
        <v>474</v>
      </c>
      <c r="B29" s="134" t="s">
        <v>56</v>
      </c>
      <c r="C29" s="720">
        <v>300000</v>
      </c>
      <c r="D29" s="720"/>
      <c r="E29" s="720">
        <f t="shared" si="2"/>
        <v>300000</v>
      </c>
      <c r="F29" s="720">
        <f t="shared" si="3"/>
        <v>225000</v>
      </c>
      <c r="G29" s="720">
        <f t="shared" si="7"/>
        <v>25000</v>
      </c>
      <c r="H29" s="989">
        <f t="shared" si="8"/>
        <v>250000</v>
      </c>
      <c r="I29" s="997"/>
      <c r="J29" s="997">
        <v>22207.52</v>
      </c>
      <c r="K29" s="997">
        <v>19088.5</v>
      </c>
      <c r="L29" s="997"/>
      <c r="M29" s="997">
        <v>38175.01</v>
      </c>
      <c r="N29" s="997"/>
      <c r="O29" s="997">
        <v>81483.22</v>
      </c>
      <c r="P29" s="997"/>
      <c r="Q29" s="997">
        <v>59352.85</v>
      </c>
      <c r="R29" s="997"/>
      <c r="S29" s="997"/>
      <c r="T29" s="997"/>
      <c r="U29" s="997">
        <f t="shared" si="4"/>
        <v>220307.1</v>
      </c>
      <c r="V29" s="997">
        <f t="shared" si="5"/>
        <v>0</v>
      </c>
      <c r="W29" s="989">
        <f t="shared" si="6"/>
        <v>220307.1</v>
      </c>
      <c r="X29" s="989">
        <f t="shared" si="1"/>
        <v>29692.899999999994</v>
      </c>
      <c r="Y29" s="996">
        <f t="shared" si="9"/>
        <v>79692.899999999994</v>
      </c>
    </row>
    <row r="30" spans="1:27" x14ac:dyDescent="0.25">
      <c r="A30" s="142" t="s">
        <v>475</v>
      </c>
      <c r="B30" s="134" t="s">
        <v>150</v>
      </c>
      <c r="C30" s="720"/>
      <c r="D30" s="720"/>
      <c r="E30" s="720">
        <f t="shared" si="2"/>
        <v>0</v>
      </c>
      <c r="F30" s="720">
        <f t="shared" si="3"/>
        <v>0</v>
      </c>
      <c r="G30" s="720"/>
      <c r="H30" s="989"/>
      <c r="I30" s="997"/>
      <c r="J30" s="997"/>
      <c r="K30" s="997"/>
      <c r="L30" s="997"/>
      <c r="M30" s="997"/>
      <c r="N30" s="997"/>
      <c r="O30" s="997"/>
      <c r="P30" s="997"/>
      <c r="Q30" s="997"/>
      <c r="R30" s="997"/>
      <c r="S30" s="997"/>
      <c r="T30" s="997"/>
      <c r="U30" s="997">
        <f t="shared" si="4"/>
        <v>0</v>
      </c>
      <c r="V30" s="997">
        <f t="shared" si="5"/>
        <v>0</v>
      </c>
      <c r="W30" s="989">
        <f t="shared" si="6"/>
        <v>0</v>
      </c>
      <c r="X30" s="989">
        <f t="shared" si="1"/>
        <v>0</v>
      </c>
      <c r="Y30" s="996">
        <f t="shared" si="9"/>
        <v>0</v>
      </c>
    </row>
    <row r="31" spans="1:27" ht="20.25" customHeight="1" x14ac:dyDescent="0.25">
      <c r="A31" s="141" t="s">
        <v>476</v>
      </c>
      <c r="B31" s="114"/>
      <c r="C31" s="720">
        <v>50000</v>
      </c>
      <c r="D31" s="720"/>
      <c r="E31" s="720">
        <f t="shared" si="2"/>
        <v>50000</v>
      </c>
      <c r="F31" s="720">
        <f t="shared" si="3"/>
        <v>37500</v>
      </c>
      <c r="G31" s="720">
        <f t="shared" ref="G31" si="10">E31/12</f>
        <v>4166.666666666667</v>
      </c>
      <c r="H31" s="989">
        <f t="shared" ref="H31:H64" si="11">F31+G31</f>
        <v>41666.666666666664</v>
      </c>
      <c r="I31" s="997"/>
      <c r="J31" s="997"/>
      <c r="K31" s="997"/>
      <c r="L31" s="997"/>
      <c r="M31" s="997"/>
      <c r="N31" s="997"/>
      <c r="O31" s="997"/>
      <c r="P31" s="997"/>
      <c r="Q31" s="997"/>
      <c r="R31" s="997"/>
      <c r="S31" s="997"/>
      <c r="T31" s="997"/>
      <c r="U31" s="997">
        <f t="shared" si="4"/>
        <v>0</v>
      </c>
      <c r="V31" s="997">
        <f t="shared" si="5"/>
        <v>0</v>
      </c>
      <c r="W31" s="989">
        <f t="shared" si="6"/>
        <v>0</v>
      </c>
      <c r="X31" s="989">
        <f t="shared" si="1"/>
        <v>41666.666666666664</v>
      </c>
      <c r="Y31" s="1275">
        <f t="shared" si="9"/>
        <v>50000</v>
      </c>
    </row>
    <row r="32" spans="1:27" x14ac:dyDescent="0.25">
      <c r="A32" s="142" t="s">
        <v>477</v>
      </c>
      <c r="B32" s="134" t="s">
        <v>150</v>
      </c>
      <c r="C32" s="720"/>
      <c r="D32" s="720"/>
      <c r="E32" s="720">
        <f t="shared" si="2"/>
        <v>0</v>
      </c>
      <c r="F32" s="720">
        <f t="shared" si="3"/>
        <v>0</v>
      </c>
      <c r="G32" s="720">
        <f t="shared" si="7"/>
        <v>0</v>
      </c>
      <c r="H32" s="989">
        <f t="shared" si="11"/>
        <v>0</v>
      </c>
      <c r="I32" s="997"/>
      <c r="J32" s="997"/>
      <c r="K32" s="997"/>
      <c r="L32" s="997"/>
      <c r="M32" s="997"/>
      <c r="N32" s="997"/>
      <c r="O32" s="997"/>
      <c r="P32" s="997"/>
      <c r="Q32" s="997"/>
      <c r="R32" s="997"/>
      <c r="S32" s="997"/>
      <c r="T32" s="997"/>
      <c r="U32" s="997">
        <f t="shared" si="4"/>
        <v>0</v>
      </c>
      <c r="V32" s="997">
        <f t="shared" si="5"/>
        <v>0</v>
      </c>
      <c r="W32" s="989">
        <f t="shared" si="6"/>
        <v>0</v>
      </c>
      <c r="X32" s="989">
        <f t="shared" si="1"/>
        <v>0</v>
      </c>
      <c r="Y32" s="996">
        <f t="shared" si="9"/>
        <v>0</v>
      </c>
    </row>
    <row r="33" spans="1:27" ht="25.5" x14ac:dyDescent="0.25">
      <c r="A33" s="141" t="s">
        <v>478</v>
      </c>
      <c r="B33" s="114"/>
      <c r="C33" s="720">
        <v>35600</v>
      </c>
      <c r="D33" s="720"/>
      <c r="E33" s="720">
        <f t="shared" si="2"/>
        <v>35600</v>
      </c>
      <c r="F33" s="720">
        <f t="shared" si="3"/>
        <v>26700</v>
      </c>
      <c r="G33" s="720">
        <f t="shared" si="7"/>
        <v>2966.6666666666665</v>
      </c>
      <c r="H33" s="989">
        <f t="shared" si="11"/>
        <v>29666.666666666668</v>
      </c>
      <c r="I33" s="997"/>
      <c r="J33" s="997">
        <v>3733.33</v>
      </c>
      <c r="K33" s="997"/>
      <c r="L33" s="997"/>
      <c r="M33" s="997"/>
      <c r="N33" s="997"/>
      <c r="O33" s="997">
        <v>450</v>
      </c>
      <c r="P33" s="997"/>
      <c r="Q33" s="997"/>
      <c r="R33" s="997"/>
      <c r="S33" s="997"/>
      <c r="T33" s="997"/>
      <c r="U33" s="997">
        <f t="shared" si="4"/>
        <v>4183.33</v>
      </c>
      <c r="V33" s="997">
        <f t="shared" si="5"/>
        <v>0</v>
      </c>
      <c r="W33" s="989">
        <f t="shared" si="6"/>
        <v>4183.33</v>
      </c>
      <c r="X33" s="989">
        <f t="shared" si="1"/>
        <v>25483.33666666667</v>
      </c>
      <c r="Y33" s="1274">
        <f t="shared" si="9"/>
        <v>31416.67</v>
      </c>
      <c r="AA33" s="987">
        <v>31416.67</v>
      </c>
    </row>
    <row r="34" spans="1:27" x14ac:dyDescent="0.25">
      <c r="A34" s="143" t="s">
        <v>479</v>
      </c>
      <c r="B34" s="114"/>
      <c r="C34" s="144">
        <v>10000</v>
      </c>
      <c r="D34" s="144"/>
      <c r="E34" s="720">
        <f t="shared" si="2"/>
        <v>10000</v>
      </c>
      <c r="F34" s="720">
        <f t="shared" si="3"/>
        <v>7500</v>
      </c>
      <c r="G34" s="720">
        <f t="shared" si="7"/>
        <v>833.33333333333337</v>
      </c>
      <c r="H34" s="989">
        <f t="shared" si="11"/>
        <v>8333.3333333333339</v>
      </c>
      <c r="I34" s="997"/>
      <c r="J34" s="997"/>
      <c r="K34" s="997"/>
      <c r="L34" s="997"/>
      <c r="M34" s="997"/>
      <c r="N34" s="997"/>
      <c r="O34" s="997"/>
      <c r="P34" s="997"/>
      <c r="Q34" s="997"/>
      <c r="R34" s="997"/>
      <c r="S34" s="997"/>
      <c r="T34" s="997"/>
      <c r="U34" s="997">
        <f t="shared" si="4"/>
        <v>0</v>
      </c>
      <c r="V34" s="997">
        <f t="shared" si="5"/>
        <v>0</v>
      </c>
      <c r="W34" s="989">
        <f t="shared" si="6"/>
        <v>0</v>
      </c>
      <c r="X34" s="989">
        <f t="shared" si="1"/>
        <v>8333.3333333333339</v>
      </c>
      <c r="Y34" s="996">
        <f t="shared" si="9"/>
        <v>10000</v>
      </c>
    </row>
    <row r="35" spans="1:27" x14ac:dyDescent="0.25">
      <c r="A35" s="143" t="s">
        <v>480</v>
      </c>
      <c r="B35" s="114"/>
      <c r="C35" s="144">
        <v>20000</v>
      </c>
      <c r="D35" s="144"/>
      <c r="E35" s="720">
        <f t="shared" si="2"/>
        <v>20000</v>
      </c>
      <c r="F35" s="720">
        <f t="shared" si="3"/>
        <v>15000</v>
      </c>
      <c r="G35" s="720">
        <f t="shared" si="7"/>
        <v>1666.6666666666667</v>
      </c>
      <c r="H35" s="989">
        <f t="shared" si="11"/>
        <v>16666.666666666668</v>
      </c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997">
        <f t="shared" si="4"/>
        <v>0</v>
      </c>
      <c r="V35" s="997">
        <f t="shared" si="5"/>
        <v>0</v>
      </c>
      <c r="W35" s="989">
        <f t="shared" si="6"/>
        <v>0</v>
      </c>
      <c r="X35" s="989">
        <f t="shared" si="1"/>
        <v>16666.666666666668</v>
      </c>
      <c r="Y35" s="996">
        <f t="shared" si="9"/>
        <v>20000</v>
      </c>
    </row>
    <row r="36" spans="1:27" x14ac:dyDescent="0.25">
      <c r="A36" s="140" t="s">
        <v>481</v>
      </c>
      <c r="B36" s="134" t="s">
        <v>150</v>
      </c>
      <c r="C36" s="720"/>
      <c r="D36" s="720"/>
      <c r="E36" s="720">
        <f t="shared" si="2"/>
        <v>0</v>
      </c>
      <c r="F36" s="720">
        <f t="shared" si="3"/>
        <v>0</v>
      </c>
      <c r="G36" s="720">
        <f t="shared" si="7"/>
        <v>0</v>
      </c>
      <c r="H36" s="989">
        <f t="shared" si="11"/>
        <v>0</v>
      </c>
      <c r="I36" s="997"/>
      <c r="J36" s="997"/>
      <c r="K36" s="997"/>
      <c r="L36" s="997"/>
      <c r="M36" s="997"/>
      <c r="N36" s="997"/>
      <c r="O36" s="997"/>
      <c r="P36" s="997"/>
      <c r="Q36" s="997"/>
      <c r="R36" s="997"/>
      <c r="S36" s="997"/>
      <c r="T36" s="997"/>
      <c r="U36" s="997">
        <f t="shared" si="4"/>
        <v>0</v>
      </c>
      <c r="V36" s="997">
        <f t="shared" si="5"/>
        <v>0</v>
      </c>
      <c r="W36" s="989">
        <f t="shared" si="6"/>
        <v>0</v>
      </c>
      <c r="X36" s="989">
        <f t="shared" si="1"/>
        <v>0</v>
      </c>
      <c r="Y36" s="996">
        <f t="shared" si="9"/>
        <v>0</v>
      </c>
    </row>
    <row r="37" spans="1:27" x14ac:dyDescent="0.25">
      <c r="A37" s="138" t="s">
        <v>482</v>
      </c>
      <c r="B37" s="134"/>
      <c r="C37" s="720">
        <v>6000</v>
      </c>
      <c r="D37" s="720"/>
      <c r="E37" s="720">
        <f t="shared" si="2"/>
        <v>6000</v>
      </c>
      <c r="F37" s="720">
        <f t="shared" si="3"/>
        <v>4500</v>
      </c>
      <c r="G37" s="720">
        <f t="shared" si="7"/>
        <v>500</v>
      </c>
      <c r="H37" s="989">
        <f t="shared" si="11"/>
        <v>5000</v>
      </c>
      <c r="I37" s="997"/>
      <c r="J37" s="997"/>
      <c r="K37" s="997"/>
      <c r="L37" s="997"/>
      <c r="M37" s="997"/>
      <c r="N37" s="997"/>
      <c r="O37" s="997"/>
      <c r="P37" s="997"/>
      <c r="Q37" s="997"/>
      <c r="R37" s="997"/>
      <c r="S37" s="997"/>
      <c r="T37" s="997"/>
      <c r="U37" s="997">
        <f t="shared" si="4"/>
        <v>0</v>
      </c>
      <c r="V37" s="997">
        <f t="shared" si="5"/>
        <v>0</v>
      </c>
      <c r="W37" s="989">
        <f t="shared" si="6"/>
        <v>0</v>
      </c>
      <c r="X37" s="989">
        <f t="shared" si="1"/>
        <v>5000</v>
      </c>
      <c r="Y37" s="1275">
        <f t="shared" si="9"/>
        <v>6000</v>
      </c>
    </row>
    <row r="38" spans="1:27" x14ac:dyDescent="0.25">
      <c r="A38" s="138" t="s">
        <v>483</v>
      </c>
      <c r="B38" s="134"/>
      <c r="C38" s="720">
        <v>14400</v>
      </c>
      <c r="D38" s="720"/>
      <c r="E38" s="720">
        <f t="shared" si="2"/>
        <v>14400</v>
      </c>
      <c r="F38" s="720">
        <f t="shared" si="3"/>
        <v>10800</v>
      </c>
      <c r="G38" s="720">
        <f t="shared" si="7"/>
        <v>1200</v>
      </c>
      <c r="H38" s="989">
        <f t="shared" si="11"/>
        <v>12000</v>
      </c>
      <c r="I38" s="997">
        <v>7188</v>
      </c>
      <c r="J38" s="997"/>
      <c r="K38" s="997">
        <v>7188</v>
      </c>
      <c r="L38" s="997"/>
      <c r="M38" s="997"/>
      <c r="N38" s="997"/>
      <c r="O38" s="997"/>
      <c r="P38" s="997"/>
      <c r="Q38" s="997"/>
      <c r="R38" s="997"/>
      <c r="S38" s="997"/>
      <c r="T38" s="997"/>
      <c r="U38" s="997">
        <f t="shared" si="4"/>
        <v>14376</v>
      </c>
      <c r="V38" s="997">
        <f t="shared" si="5"/>
        <v>0</v>
      </c>
      <c r="W38" s="989">
        <f t="shared" si="6"/>
        <v>14376</v>
      </c>
      <c r="X38" s="989">
        <f t="shared" si="1"/>
        <v>-2376</v>
      </c>
      <c r="Y38" s="996">
        <f t="shared" si="9"/>
        <v>24</v>
      </c>
    </row>
    <row r="39" spans="1:27" x14ac:dyDescent="0.25">
      <c r="A39" s="142" t="s">
        <v>484</v>
      </c>
      <c r="B39" s="134" t="s">
        <v>76</v>
      </c>
      <c r="C39" s="937"/>
      <c r="D39" s="937"/>
      <c r="E39" s="720">
        <f t="shared" si="2"/>
        <v>0</v>
      </c>
      <c r="F39" s="720">
        <f t="shared" si="3"/>
        <v>0</v>
      </c>
      <c r="G39" s="720">
        <f t="shared" si="7"/>
        <v>0</v>
      </c>
      <c r="H39" s="989">
        <f t="shared" si="11"/>
        <v>0</v>
      </c>
      <c r="I39" s="997"/>
      <c r="J39" s="997"/>
      <c r="K39" s="997"/>
      <c r="L39" s="997"/>
      <c r="M39" s="997"/>
      <c r="N39" s="997"/>
      <c r="O39" s="997"/>
      <c r="P39" s="997"/>
      <c r="Q39" s="997"/>
      <c r="R39" s="997"/>
      <c r="S39" s="997"/>
      <c r="T39" s="997"/>
      <c r="U39" s="997">
        <f t="shared" si="4"/>
        <v>0</v>
      </c>
      <c r="V39" s="997">
        <f t="shared" si="5"/>
        <v>0</v>
      </c>
      <c r="W39" s="989">
        <f t="shared" si="6"/>
        <v>0</v>
      </c>
      <c r="X39" s="989">
        <f t="shared" si="1"/>
        <v>0</v>
      </c>
      <c r="Y39" s="996">
        <f t="shared" si="9"/>
        <v>0</v>
      </c>
    </row>
    <row r="40" spans="1:27" ht="25.5" x14ac:dyDescent="0.25">
      <c r="A40" s="349" t="s">
        <v>206</v>
      </c>
      <c r="B40" s="134"/>
      <c r="C40" s="720">
        <v>100000</v>
      </c>
      <c r="D40" s="720"/>
      <c r="E40" s="720">
        <f t="shared" si="2"/>
        <v>100000</v>
      </c>
      <c r="F40" s="720">
        <f t="shared" si="3"/>
        <v>75000</v>
      </c>
      <c r="G40" s="720">
        <f t="shared" si="7"/>
        <v>8333.3333333333339</v>
      </c>
      <c r="H40" s="989">
        <f t="shared" si="11"/>
        <v>83333.333333333328</v>
      </c>
      <c r="I40" s="937"/>
      <c r="J40" s="997"/>
      <c r="K40" s="997"/>
      <c r="L40" s="997"/>
      <c r="M40" s="997"/>
      <c r="N40" s="937"/>
      <c r="O40" s="937"/>
      <c r="P40" s="937"/>
      <c r="Q40" s="937"/>
      <c r="R40" s="937"/>
      <c r="S40" s="937"/>
      <c r="T40" s="937"/>
      <c r="U40" s="997">
        <f t="shared" si="4"/>
        <v>0</v>
      </c>
      <c r="V40" s="997">
        <f t="shared" si="5"/>
        <v>0</v>
      </c>
      <c r="W40" s="989">
        <f t="shared" si="6"/>
        <v>0</v>
      </c>
      <c r="X40" s="989">
        <f t="shared" si="1"/>
        <v>83333.333333333328</v>
      </c>
      <c r="Y40" s="1275">
        <f t="shared" si="9"/>
        <v>100000</v>
      </c>
      <c r="AA40" s="987">
        <v>100000</v>
      </c>
    </row>
    <row r="41" spans="1:27" ht="25.5" customHeight="1" x14ac:dyDescent="0.25">
      <c r="A41" s="142" t="s">
        <v>485</v>
      </c>
      <c r="B41" s="134" t="s">
        <v>87</v>
      </c>
      <c r="C41" s="720"/>
      <c r="D41" s="720"/>
      <c r="E41" s="720">
        <f t="shared" si="2"/>
        <v>0</v>
      </c>
      <c r="F41" s="720">
        <f t="shared" si="3"/>
        <v>0</v>
      </c>
      <c r="G41" s="720">
        <f t="shared" si="7"/>
        <v>0</v>
      </c>
      <c r="H41" s="989">
        <f t="shared" si="11"/>
        <v>0</v>
      </c>
      <c r="I41" s="997"/>
      <c r="J41" s="997"/>
      <c r="K41" s="997"/>
      <c r="L41" s="997"/>
      <c r="M41" s="997"/>
      <c r="N41" s="997"/>
      <c r="O41" s="997"/>
      <c r="P41" s="997"/>
      <c r="Q41" s="997"/>
      <c r="R41" s="997"/>
      <c r="S41" s="997"/>
      <c r="T41" s="997"/>
      <c r="U41" s="997">
        <f t="shared" si="4"/>
        <v>0</v>
      </c>
      <c r="V41" s="997">
        <f t="shared" si="5"/>
        <v>0</v>
      </c>
      <c r="W41" s="989">
        <f t="shared" si="6"/>
        <v>0</v>
      </c>
      <c r="X41" s="989">
        <f t="shared" si="1"/>
        <v>0</v>
      </c>
      <c r="Y41" s="996">
        <f t="shared" si="9"/>
        <v>0</v>
      </c>
    </row>
    <row r="42" spans="1:27" x14ac:dyDescent="0.25">
      <c r="A42" s="138" t="s">
        <v>486</v>
      </c>
      <c r="B42" s="134"/>
      <c r="C42" s="720">
        <v>50000</v>
      </c>
      <c r="D42" s="720"/>
      <c r="E42" s="720">
        <f t="shared" si="2"/>
        <v>50000</v>
      </c>
      <c r="F42" s="720">
        <f t="shared" si="3"/>
        <v>37500</v>
      </c>
      <c r="G42" s="720">
        <f t="shared" si="7"/>
        <v>4166.666666666667</v>
      </c>
      <c r="H42" s="989">
        <f t="shared" si="11"/>
        <v>41666.666666666664</v>
      </c>
      <c r="I42" s="990"/>
      <c r="J42" s="990"/>
      <c r="K42" s="990"/>
      <c r="L42" s="990"/>
      <c r="M42" s="990"/>
      <c r="N42" s="990"/>
      <c r="O42" s="990"/>
      <c r="P42" s="990"/>
      <c r="Q42" s="990"/>
      <c r="R42" s="990"/>
      <c r="S42" s="990"/>
      <c r="T42" s="990"/>
      <c r="U42" s="997">
        <f t="shared" si="4"/>
        <v>0</v>
      </c>
      <c r="V42" s="997">
        <f t="shared" si="5"/>
        <v>0</v>
      </c>
      <c r="W42" s="989">
        <f t="shared" si="6"/>
        <v>0</v>
      </c>
      <c r="X42" s="989">
        <f t="shared" si="1"/>
        <v>41666.666666666664</v>
      </c>
      <c r="Y42" s="996">
        <f t="shared" si="9"/>
        <v>50000</v>
      </c>
    </row>
    <row r="43" spans="1:27" x14ac:dyDescent="0.25">
      <c r="A43" s="138" t="s">
        <v>487</v>
      </c>
      <c r="B43" s="134"/>
      <c r="C43" s="720">
        <v>25000</v>
      </c>
      <c r="D43" s="720"/>
      <c r="E43" s="720">
        <f t="shared" si="2"/>
        <v>25000</v>
      </c>
      <c r="F43" s="720">
        <f t="shared" si="3"/>
        <v>18750</v>
      </c>
      <c r="G43" s="720">
        <f t="shared" si="7"/>
        <v>2083.3333333333335</v>
      </c>
      <c r="H43" s="989">
        <f t="shared" si="11"/>
        <v>20833.333333333332</v>
      </c>
      <c r="I43" s="997"/>
      <c r="J43" s="997"/>
      <c r="K43" s="997"/>
      <c r="L43" s="997"/>
      <c r="M43" s="997"/>
      <c r="N43" s="997"/>
      <c r="O43" s="997"/>
      <c r="P43" s="997"/>
      <c r="Q43" s="997"/>
      <c r="R43" s="997"/>
      <c r="S43" s="997"/>
      <c r="T43" s="997"/>
      <c r="U43" s="997">
        <f t="shared" si="4"/>
        <v>0</v>
      </c>
      <c r="V43" s="997">
        <f t="shared" si="5"/>
        <v>0</v>
      </c>
      <c r="W43" s="989">
        <f t="shared" si="6"/>
        <v>0</v>
      </c>
      <c r="X43" s="989">
        <f t="shared" si="1"/>
        <v>20833.333333333332</v>
      </c>
      <c r="Y43" s="1274">
        <f t="shared" si="9"/>
        <v>25000</v>
      </c>
      <c r="AA43" s="987">
        <v>25000</v>
      </c>
    </row>
    <row r="44" spans="1:27" x14ac:dyDescent="0.25">
      <c r="A44" s="138" t="s">
        <v>488</v>
      </c>
      <c r="B44" s="134"/>
      <c r="C44" s="720">
        <v>25000</v>
      </c>
      <c r="D44" s="720"/>
      <c r="E44" s="720">
        <f t="shared" si="2"/>
        <v>25000</v>
      </c>
      <c r="F44" s="720">
        <f t="shared" si="3"/>
        <v>18750</v>
      </c>
      <c r="G44" s="720">
        <f t="shared" si="7"/>
        <v>2083.3333333333335</v>
      </c>
      <c r="H44" s="989">
        <f t="shared" si="11"/>
        <v>20833.333333333332</v>
      </c>
      <c r="I44" s="997"/>
      <c r="J44" s="997"/>
      <c r="K44" s="997"/>
      <c r="L44" s="997"/>
      <c r="M44" s="997"/>
      <c r="N44" s="997"/>
      <c r="O44" s="997"/>
      <c r="P44" s="997"/>
      <c r="Q44" s="997"/>
      <c r="R44" s="997"/>
      <c r="S44" s="997"/>
      <c r="T44" s="997"/>
      <c r="U44" s="997">
        <f t="shared" si="4"/>
        <v>0</v>
      </c>
      <c r="V44" s="997">
        <f t="shared" si="5"/>
        <v>0</v>
      </c>
      <c r="W44" s="989">
        <f t="shared" si="6"/>
        <v>0</v>
      </c>
      <c r="X44" s="989">
        <f t="shared" si="1"/>
        <v>20833.333333333332</v>
      </c>
      <c r="Y44" s="1274">
        <f t="shared" si="9"/>
        <v>25000</v>
      </c>
      <c r="AA44" s="987">
        <v>25000</v>
      </c>
    </row>
    <row r="45" spans="1:27" x14ac:dyDescent="0.25">
      <c r="A45" s="355" t="s">
        <v>489</v>
      </c>
      <c r="B45" s="134" t="s">
        <v>76</v>
      </c>
      <c r="C45" s="720">
        <v>0</v>
      </c>
      <c r="D45" s="720"/>
      <c r="E45" s="720">
        <f t="shared" si="2"/>
        <v>0</v>
      </c>
      <c r="F45" s="720">
        <f t="shared" si="3"/>
        <v>0</v>
      </c>
      <c r="G45" s="720">
        <f t="shared" si="7"/>
        <v>0</v>
      </c>
      <c r="H45" s="989">
        <f t="shared" si="11"/>
        <v>0</v>
      </c>
      <c r="I45" s="997"/>
      <c r="J45" s="997"/>
      <c r="K45" s="997"/>
      <c r="L45" s="997"/>
      <c r="M45" s="997"/>
      <c r="N45" s="997"/>
      <c r="O45" s="997"/>
      <c r="P45" s="997"/>
      <c r="Q45" s="997"/>
      <c r="R45" s="997"/>
      <c r="S45" s="997"/>
      <c r="T45" s="997"/>
      <c r="U45" s="997">
        <f t="shared" si="4"/>
        <v>0</v>
      </c>
      <c r="V45" s="997">
        <f t="shared" si="5"/>
        <v>0</v>
      </c>
      <c r="W45" s="989">
        <f t="shared" si="6"/>
        <v>0</v>
      </c>
      <c r="X45" s="989">
        <f t="shared" si="1"/>
        <v>0</v>
      </c>
      <c r="Y45" s="996">
        <f t="shared" si="9"/>
        <v>0</v>
      </c>
    </row>
    <row r="46" spans="1:27" x14ac:dyDescent="0.25">
      <c r="A46" s="138" t="s">
        <v>490</v>
      </c>
      <c r="B46" s="134"/>
      <c r="C46" s="720">
        <v>100000</v>
      </c>
      <c r="D46" s="720"/>
      <c r="E46" s="720">
        <f t="shared" si="2"/>
        <v>100000</v>
      </c>
      <c r="F46" s="720">
        <f t="shared" si="3"/>
        <v>75000</v>
      </c>
      <c r="G46" s="720">
        <f t="shared" si="7"/>
        <v>8333.3333333333339</v>
      </c>
      <c r="H46" s="989">
        <f t="shared" si="11"/>
        <v>83333.333333333328</v>
      </c>
      <c r="I46" s="997"/>
      <c r="J46" s="997"/>
      <c r="K46" s="997"/>
      <c r="L46" s="997"/>
      <c r="M46" s="997"/>
      <c r="N46" s="997"/>
      <c r="O46" s="997">
        <v>4889</v>
      </c>
      <c r="P46" s="997">
        <v>4350</v>
      </c>
      <c r="Q46" s="997"/>
      <c r="R46" s="997"/>
      <c r="S46" s="997"/>
      <c r="T46" s="997"/>
      <c r="U46" s="997">
        <f t="shared" si="4"/>
        <v>9239</v>
      </c>
      <c r="V46" s="997">
        <f t="shared" si="5"/>
        <v>0</v>
      </c>
      <c r="W46" s="989">
        <f t="shared" si="6"/>
        <v>9239</v>
      </c>
      <c r="X46" s="989">
        <f t="shared" si="1"/>
        <v>74094.333333333328</v>
      </c>
      <c r="Y46" s="996">
        <f t="shared" si="9"/>
        <v>90761</v>
      </c>
    </row>
    <row r="47" spans="1:27" x14ac:dyDescent="0.25">
      <c r="A47" s="142" t="s">
        <v>491</v>
      </c>
      <c r="B47" s="134" t="s">
        <v>79</v>
      </c>
      <c r="C47" s="937"/>
      <c r="D47" s="937"/>
      <c r="E47" s="720">
        <f t="shared" si="2"/>
        <v>0</v>
      </c>
      <c r="F47" s="720">
        <f t="shared" si="3"/>
        <v>0</v>
      </c>
      <c r="G47" s="720">
        <f t="shared" si="7"/>
        <v>0</v>
      </c>
      <c r="H47" s="989">
        <f t="shared" si="11"/>
        <v>0</v>
      </c>
      <c r="I47" s="997"/>
      <c r="J47" s="997"/>
      <c r="K47" s="997"/>
      <c r="L47" s="997"/>
      <c r="M47" s="997"/>
      <c r="N47" s="997"/>
      <c r="O47" s="997"/>
      <c r="P47" s="997"/>
      <c r="Q47" s="997"/>
      <c r="R47" s="997"/>
      <c r="S47" s="997"/>
      <c r="T47" s="997"/>
      <c r="U47" s="997">
        <f t="shared" si="4"/>
        <v>0</v>
      </c>
      <c r="V47" s="997">
        <f t="shared" si="5"/>
        <v>0</v>
      </c>
      <c r="W47" s="989">
        <f t="shared" si="6"/>
        <v>0</v>
      </c>
      <c r="X47" s="989">
        <f t="shared" si="1"/>
        <v>0</v>
      </c>
      <c r="Y47" s="996">
        <f t="shared" si="9"/>
        <v>0</v>
      </c>
    </row>
    <row r="48" spans="1:27" x14ac:dyDescent="0.25">
      <c r="A48" s="138" t="s">
        <v>492</v>
      </c>
      <c r="B48" s="134"/>
      <c r="C48" s="720">
        <v>200000</v>
      </c>
      <c r="D48" s="720"/>
      <c r="E48" s="720">
        <f t="shared" si="2"/>
        <v>200000</v>
      </c>
      <c r="F48" s="720">
        <f t="shared" si="3"/>
        <v>150000</v>
      </c>
      <c r="G48" s="720">
        <f t="shared" si="7"/>
        <v>16666.666666666668</v>
      </c>
      <c r="H48" s="989">
        <f t="shared" si="11"/>
        <v>166666.66666666666</v>
      </c>
      <c r="I48" s="997"/>
      <c r="J48" s="997"/>
      <c r="K48" s="997"/>
      <c r="L48" s="997">
        <v>17000</v>
      </c>
      <c r="M48" s="997"/>
      <c r="N48" s="997"/>
      <c r="O48" s="997">
        <v>14466.75</v>
      </c>
      <c r="P48" s="997">
        <v>76800</v>
      </c>
      <c r="Q48" s="997"/>
      <c r="R48" s="997"/>
      <c r="S48" s="997"/>
      <c r="T48" s="997"/>
      <c r="U48" s="997">
        <f t="shared" si="4"/>
        <v>108266.75</v>
      </c>
      <c r="V48" s="997">
        <f t="shared" si="5"/>
        <v>0</v>
      </c>
      <c r="W48" s="989">
        <f t="shared" si="6"/>
        <v>108266.75</v>
      </c>
      <c r="X48" s="989">
        <f t="shared" si="1"/>
        <v>58399.916666666657</v>
      </c>
      <c r="Y48" s="996">
        <f t="shared" si="9"/>
        <v>91733.25</v>
      </c>
    </row>
    <row r="49" spans="1:27" x14ac:dyDescent="0.25">
      <c r="A49" s="138" t="s">
        <v>493</v>
      </c>
      <c r="B49" s="134"/>
      <c r="C49" s="720">
        <v>25000</v>
      </c>
      <c r="D49" s="720"/>
      <c r="E49" s="720">
        <f t="shared" si="2"/>
        <v>25000</v>
      </c>
      <c r="F49" s="720">
        <f t="shared" si="3"/>
        <v>18750</v>
      </c>
      <c r="G49" s="720">
        <f t="shared" si="7"/>
        <v>2083.3333333333335</v>
      </c>
      <c r="H49" s="989">
        <f t="shared" si="11"/>
        <v>20833.333333333332</v>
      </c>
      <c r="I49" s="997"/>
      <c r="J49" s="997"/>
      <c r="K49" s="997"/>
      <c r="L49" s="997"/>
      <c r="M49" s="997"/>
      <c r="N49" s="997"/>
      <c r="O49" s="997"/>
      <c r="P49" s="997"/>
      <c r="Q49" s="997"/>
      <c r="R49" s="997"/>
      <c r="S49" s="997"/>
      <c r="T49" s="997"/>
      <c r="U49" s="997">
        <f t="shared" si="4"/>
        <v>0</v>
      </c>
      <c r="V49" s="997">
        <f t="shared" si="5"/>
        <v>0</v>
      </c>
      <c r="W49" s="989">
        <f t="shared" si="6"/>
        <v>0</v>
      </c>
      <c r="X49" s="989">
        <f t="shared" si="1"/>
        <v>20833.333333333332</v>
      </c>
      <c r="Y49" s="996">
        <f t="shared" si="9"/>
        <v>25000</v>
      </c>
    </row>
    <row r="50" spans="1:27" x14ac:dyDescent="0.25">
      <c r="A50" s="126" t="s">
        <v>198</v>
      </c>
      <c r="B50" s="134" t="s">
        <v>81</v>
      </c>
      <c r="C50" s="720"/>
      <c r="D50" s="720"/>
      <c r="E50" s="720">
        <f t="shared" si="2"/>
        <v>0</v>
      </c>
      <c r="F50" s="720">
        <f t="shared" si="3"/>
        <v>0</v>
      </c>
      <c r="G50" s="720">
        <f t="shared" si="7"/>
        <v>0</v>
      </c>
      <c r="H50" s="989">
        <f t="shared" si="11"/>
        <v>0</v>
      </c>
      <c r="I50" s="937"/>
      <c r="J50" s="997"/>
      <c r="K50" s="997"/>
      <c r="L50" s="997"/>
      <c r="M50" s="997"/>
      <c r="N50" s="937"/>
      <c r="O50" s="937"/>
      <c r="P50" s="937"/>
      <c r="Q50" s="937"/>
      <c r="R50" s="937"/>
      <c r="S50" s="937"/>
      <c r="T50" s="937"/>
      <c r="U50" s="997">
        <f t="shared" si="4"/>
        <v>0</v>
      </c>
      <c r="V50" s="997">
        <f t="shared" si="5"/>
        <v>0</v>
      </c>
      <c r="W50" s="989">
        <f t="shared" si="6"/>
        <v>0</v>
      </c>
      <c r="X50" s="989">
        <f t="shared" si="1"/>
        <v>0</v>
      </c>
      <c r="Y50" s="996">
        <f t="shared" si="9"/>
        <v>0</v>
      </c>
    </row>
    <row r="51" spans="1:27" x14ac:dyDescent="0.25">
      <c r="A51" s="138" t="s">
        <v>199</v>
      </c>
      <c r="B51" s="134"/>
      <c r="C51" s="720">
        <v>50000</v>
      </c>
      <c r="D51" s="720"/>
      <c r="E51" s="720">
        <f t="shared" si="2"/>
        <v>50000</v>
      </c>
      <c r="F51" s="720">
        <f t="shared" si="3"/>
        <v>37500</v>
      </c>
      <c r="G51" s="720">
        <f t="shared" si="7"/>
        <v>4166.666666666667</v>
      </c>
      <c r="H51" s="989">
        <f t="shared" si="11"/>
        <v>41666.666666666664</v>
      </c>
      <c r="I51" s="996"/>
      <c r="J51" s="997"/>
      <c r="K51" s="997"/>
      <c r="L51" s="997"/>
      <c r="M51" s="997"/>
      <c r="N51" s="937"/>
      <c r="O51" s="937">
        <v>350</v>
      </c>
      <c r="P51" s="937">
        <v>5310</v>
      </c>
      <c r="Q51" s="937"/>
      <c r="R51" s="937">
        <v>2710</v>
      </c>
      <c r="S51" s="937"/>
      <c r="T51" s="937">
        <v>2710</v>
      </c>
      <c r="U51" s="997">
        <f t="shared" si="4"/>
        <v>5660</v>
      </c>
      <c r="V51" s="997">
        <f t="shared" si="5"/>
        <v>2710</v>
      </c>
      <c r="W51" s="989">
        <f t="shared" si="6"/>
        <v>8370</v>
      </c>
      <c r="X51" s="989">
        <f t="shared" si="1"/>
        <v>33296.666666666664</v>
      </c>
      <c r="Y51" s="996">
        <f t="shared" si="9"/>
        <v>41630</v>
      </c>
    </row>
    <row r="52" spans="1:27" x14ac:dyDescent="0.25">
      <c r="A52" s="350" t="s">
        <v>200</v>
      </c>
      <c r="B52" s="134" t="s">
        <v>83</v>
      </c>
      <c r="C52" s="720"/>
      <c r="D52" s="720"/>
      <c r="E52" s="720">
        <f t="shared" si="2"/>
        <v>0</v>
      </c>
      <c r="F52" s="720">
        <f t="shared" si="3"/>
        <v>0</v>
      </c>
      <c r="G52" s="720">
        <f t="shared" si="7"/>
        <v>0</v>
      </c>
      <c r="H52" s="989">
        <f t="shared" si="11"/>
        <v>0</v>
      </c>
      <c r="I52" s="937"/>
      <c r="J52" s="997"/>
      <c r="K52" s="997"/>
      <c r="L52" s="997"/>
      <c r="M52" s="997"/>
      <c r="N52" s="937"/>
      <c r="O52" s="937"/>
      <c r="P52" s="937"/>
      <c r="Q52" s="937"/>
      <c r="R52" s="937"/>
      <c r="S52" s="937"/>
      <c r="T52" s="937"/>
      <c r="U52" s="997">
        <f t="shared" si="4"/>
        <v>0</v>
      </c>
      <c r="V52" s="997">
        <f t="shared" si="5"/>
        <v>0</v>
      </c>
      <c r="W52" s="989">
        <f t="shared" si="6"/>
        <v>0</v>
      </c>
      <c r="X52" s="989">
        <f t="shared" si="1"/>
        <v>0</v>
      </c>
      <c r="Y52" s="996">
        <f t="shared" si="9"/>
        <v>0</v>
      </c>
    </row>
    <row r="53" spans="1:27" x14ac:dyDescent="0.25">
      <c r="A53" s="145" t="s">
        <v>201</v>
      </c>
      <c r="B53" s="134"/>
      <c r="C53" s="720">
        <v>150000</v>
      </c>
      <c r="D53" s="720"/>
      <c r="E53" s="720">
        <f t="shared" si="2"/>
        <v>150000</v>
      </c>
      <c r="F53" s="720">
        <f t="shared" si="3"/>
        <v>112500</v>
      </c>
      <c r="G53" s="720">
        <f t="shared" si="7"/>
        <v>12500</v>
      </c>
      <c r="H53" s="989">
        <f t="shared" si="11"/>
        <v>125000</v>
      </c>
      <c r="I53" s="937"/>
      <c r="J53" s="997">
        <v>6277.85</v>
      </c>
      <c r="K53" s="997">
        <f>2459.06+5095.5</f>
        <v>7554.5599999999995</v>
      </c>
      <c r="L53" s="997">
        <v>5791.92</v>
      </c>
      <c r="M53" s="997"/>
      <c r="N53" s="937">
        <v>1490</v>
      </c>
      <c r="O53" s="997">
        <v>44824.12</v>
      </c>
      <c r="P53" s="937">
        <v>5067.18</v>
      </c>
      <c r="Q53" s="937"/>
      <c r="R53" s="937"/>
      <c r="S53" s="937"/>
      <c r="T53" s="937"/>
      <c r="U53" s="997">
        <f t="shared" si="4"/>
        <v>71005.63</v>
      </c>
      <c r="V53" s="997">
        <f t="shared" si="5"/>
        <v>0</v>
      </c>
      <c r="W53" s="989">
        <f t="shared" si="6"/>
        <v>71005.63</v>
      </c>
      <c r="X53" s="989">
        <f t="shared" si="1"/>
        <v>53994.369999999995</v>
      </c>
      <c r="Y53" s="996">
        <f t="shared" si="9"/>
        <v>78994.37</v>
      </c>
    </row>
    <row r="54" spans="1:27" x14ac:dyDescent="0.25">
      <c r="A54" s="830" t="s">
        <v>202</v>
      </c>
      <c r="B54" s="134"/>
      <c r="C54" s="720"/>
      <c r="D54" s="720"/>
      <c r="E54" s="720">
        <f t="shared" si="2"/>
        <v>0</v>
      </c>
      <c r="F54" s="720">
        <f t="shared" si="3"/>
        <v>0</v>
      </c>
      <c r="G54" s="720">
        <f t="shared" si="7"/>
        <v>0</v>
      </c>
      <c r="H54" s="989">
        <f t="shared" si="11"/>
        <v>0</v>
      </c>
      <c r="I54" s="937"/>
      <c r="J54" s="997"/>
      <c r="K54" s="997"/>
      <c r="L54" s="997"/>
      <c r="M54" s="997"/>
      <c r="N54" s="937"/>
      <c r="O54" s="937"/>
      <c r="P54" s="937"/>
      <c r="Q54" s="937"/>
      <c r="R54" s="937"/>
      <c r="S54" s="937"/>
      <c r="T54" s="937"/>
      <c r="U54" s="997">
        <f t="shared" si="4"/>
        <v>0</v>
      </c>
      <c r="V54" s="997">
        <f t="shared" si="5"/>
        <v>0</v>
      </c>
      <c r="W54" s="989">
        <f t="shared" si="6"/>
        <v>0</v>
      </c>
      <c r="X54" s="989">
        <f t="shared" si="1"/>
        <v>0</v>
      </c>
      <c r="Y54" s="996">
        <f t="shared" si="9"/>
        <v>0</v>
      </c>
    </row>
    <row r="55" spans="1:27" x14ac:dyDescent="0.25">
      <c r="A55" s="145" t="s">
        <v>203</v>
      </c>
      <c r="B55" s="134"/>
      <c r="C55" s="720">
        <v>50000</v>
      </c>
      <c r="D55" s="720"/>
      <c r="E55" s="720">
        <f t="shared" si="2"/>
        <v>50000</v>
      </c>
      <c r="F55" s="720">
        <f t="shared" si="3"/>
        <v>37500</v>
      </c>
      <c r="G55" s="720">
        <f t="shared" si="7"/>
        <v>4166.666666666667</v>
      </c>
      <c r="H55" s="989">
        <f t="shared" si="11"/>
        <v>41666.666666666664</v>
      </c>
      <c r="I55" s="937"/>
      <c r="J55" s="997"/>
      <c r="K55" s="997"/>
      <c r="L55" s="997">
        <v>36000</v>
      </c>
      <c r="M55" s="997"/>
      <c r="N55" s="937"/>
      <c r="O55" s="997"/>
      <c r="P55" s="937"/>
      <c r="Q55" s="937"/>
      <c r="R55" s="937"/>
      <c r="S55" s="937"/>
      <c r="T55" s="937"/>
      <c r="U55" s="997">
        <f t="shared" si="4"/>
        <v>36000</v>
      </c>
      <c r="V55" s="997">
        <f t="shared" si="5"/>
        <v>0</v>
      </c>
      <c r="W55" s="989">
        <f t="shared" si="6"/>
        <v>36000</v>
      </c>
      <c r="X55" s="989">
        <f t="shared" si="1"/>
        <v>5666.6666666666642</v>
      </c>
      <c r="Y55" s="1275">
        <f t="shared" si="9"/>
        <v>14000</v>
      </c>
    </row>
    <row r="56" spans="1:27" x14ac:dyDescent="0.25">
      <c r="A56" s="126" t="s">
        <v>494</v>
      </c>
      <c r="B56" s="134" t="s">
        <v>93</v>
      </c>
      <c r="C56" s="720"/>
      <c r="D56" s="720"/>
      <c r="E56" s="720">
        <f t="shared" si="2"/>
        <v>0</v>
      </c>
      <c r="F56" s="720">
        <f t="shared" si="3"/>
        <v>0</v>
      </c>
      <c r="G56" s="720">
        <f t="shared" si="7"/>
        <v>0</v>
      </c>
      <c r="H56" s="989">
        <f t="shared" si="11"/>
        <v>0</v>
      </c>
      <c r="I56" s="937"/>
      <c r="J56" s="997"/>
      <c r="K56" s="997"/>
      <c r="L56" s="997"/>
      <c r="M56" s="997"/>
      <c r="N56" s="937"/>
      <c r="O56" s="997"/>
      <c r="P56" s="937"/>
      <c r="Q56" s="937"/>
      <c r="R56" s="937"/>
      <c r="S56" s="937"/>
      <c r="T56" s="937"/>
      <c r="U56" s="997">
        <f t="shared" si="4"/>
        <v>0</v>
      </c>
      <c r="V56" s="997">
        <f t="shared" si="5"/>
        <v>0</v>
      </c>
      <c r="W56" s="989">
        <f t="shared" si="6"/>
        <v>0</v>
      </c>
      <c r="X56" s="989">
        <f t="shared" si="1"/>
        <v>0</v>
      </c>
      <c r="Y56" s="996">
        <f t="shared" si="9"/>
        <v>0</v>
      </c>
    </row>
    <row r="57" spans="1:27" x14ac:dyDescent="0.25">
      <c r="A57" s="145" t="s">
        <v>204</v>
      </c>
      <c r="B57" s="134"/>
      <c r="C57" s="720">
        <v>200000</v>
      </c>
      <c r="D57" s="720"/>
      <c r="E57" s="720">
        <f t="shared" si="2"/>
        <v>200000</v>
      </c>
      <c r="F57" s="720">
        <f t="shared" si="3"/>
        <v>150000</v>
      </c>
      <c r="G57" s="720">
        <f t="shared" si="7"/>
        <v>16666.666666666668</v>
      </c>
      <c r="H57" s="989">
        <f t="shared" si="11"/>
        <v>166666.66666666666</v>
      </c>
      <c r="I57" s="937"/>
      <c r="J57" s="997"/>
      <c r="K57" s="997"/>
      <c r="L57" s="997">
        <v>15600</v>
      </c>
      <c r="M57" s="997"/>
      <c r="N57" s="937"/>
      <c r="O57" s="997"/>
      <c r="P57" s="937"/>
      <c r="Q57" s="937"/>
      <c r="R57" s="937"/>
      <c r="S57" s="937"/>
      <c r="T57" s="937"/>
      <c r="U57" s="997">
        <f t="shared" si="4"/>
        <v>15600</v>
      </c>
      <c r="V57" s="997">
        <f t="shared" si="5"/>
        <v>0</v>
      </c>
      <c r="W57" s="989">
        <f t="shared" si="6"/>
        <v>15600</v>
      </c>
      <c r="X57" s="989">
        <f t="shared" si="1"/>
        <v>151066.66666666666</v>
      </c>
      <c r="Y57" s="996">
        <f t="shared" si="9"/>
        <v>184400</v>
      </c>
    </row>
    <row r="58" spans="1:27" x14ac:dyDescent="0.25">
      <c r="A58" s="145" t="s">
        <v>205</v>
      </c>
      <c r="B58" s="134"/>
      <c r="C58" s="720">
        <v>20000</v>
      </c>
      <c r="D58" s="720"/>
      <c r="E58" s="720">
        <f t="shared" si="2"/>
        <v>20000</v>
      </c>
      <c r="F58" s="720">
        <f t="shared" si="3"/>
        <v>15000</v>
      </c>
      <c r="G58" s="720">
        <f t="shared" si="7"/>
        <v>1666.6666666666667</v>
      </c>
      <c r="H58" s="989">
        <f t="shared" si="11"/>
        <v>16666.666666666668</v>
      </c>
      <c r="I58" s="937"/>
      <c r="J58" s="997"/>
      <c r="K58" s="997"/>
      <c r="L58" s="997"/>
      <c r="M58" s="997"/>
      <c r="N58" s="937"/>
      <c r="O58" s="997">
        <v>3200</v>
      </c>
      <c r="P58" s="937"/>
      <c r="Q58" s="937">
        <v>6400</v>
      </c>
      <c r="R58" s="937"/>
      <c r="S58" s="937"/>
      <c r="T58" s="937"/>
      <c r="U58" s="997">
        <f t="shared" si="4"/>
        <v>9600</v>
      </c>
      <c r="V58" s="997">
        <f t="shared" si="5"/>
        <v>0</v>
      </c>
      <c r="W58" s="989">
        <f t="shared" si="6"/>
        <v>9600</v>
      </c>
      <c r="X58" s="989">
        <f t="shared" si="1"/>
        <v>7066.6666666666679</v>
      </c>
      <c r="Y58" s="996">
        <f t="shared" si="9"/>
        <v>10400</v>
      </c>
    </row>
    <row r="59" spans="1:27" x14ac:dyDescent="0.25">
      <c r="A59" s="145" t="s">
        <v>495</v>
      </c>
      <c r="B59" s="134"/>
      <c r="C59" s="720">
        <v>80000</v>
      </c>
      <c r="D59" s="720"/>
      <c r="E59" s="720">
        <f t="shared" si="2"/>
        <v>80000</v>
      </c>
      <c r="F59" s="720">
        <f t="shared" si="3"/>
        <v>60000</v>
      </c>
      <c r="G59" s="720">
        <f t="shared" si="7"/>
        <v>6666.666666666667</v>
      </c>
      <c r="H59" s="989">
        <f t="shared" si="11"/>
        <v>66666.666666666672</v>
      </c>
      <c r="I59" s="937"/>
      <c r="J59" s="997"/>
      <c r="K59" s="303">
        <v>2100</v>
      </c>
      <c r="L59" s="997"/>
      <c r="M59" s="997"/>
      <c r="N59" s="937"/>
      <c r="O59" s="997"/>
      <c r="P59" s="937"/>
      <c r="Q59" s="937">
        <v>3200</v>
      </c>
      <c r="R59" s="937"/>
      <c r="S59" s="937"/>
      <c r="T59" s="937"/>
      <c r="U59" s="997">
        <f t="shared" si="4"/>
        <v>5300</v>
      </c>
      <c r="V59" s="997">
        <f t="shared" si="5"/>
        <v>0</v>
      </c>
      <c r="W59" s="989">
        <f t="shared" si="6"/>
        <v>5300</v>
      </c>
      <c r="X59" s="989">
        <f t="shared" si="1"/>
        <v>61366.666666666672</v>
      </c>
      <c r="Y59" s="1431">
        <f t="shared" si="9"/>
        <v>74700</v>
      </c>
    </row>
    <row r="60" spans="1:27" x14ac:dyDescent="0.25">
      <c r="A60" s="349" t="s">
        <v>207</v>
      </c>
      <c r="B60" s="134"/>
      <c r="C60" s="720">
        <v>30000</v>
      </c>
      <c r="D60" s="720"/>
      <c r="E60" s="720">
        <f t="shared" si="2"/>
        <v>30000</v>
      </c>
      <c r="F60" s="720">
        <f t="shared" si="3"/>
        <v>22500</v>
      </c>
      <c r="G60" s="720">
        <f>E60/12</f>
        <v>2500</v>
      </c>
      <c r="H60" s="989">
        <f t="shared" si="11"/>
        <v>25000</v>
      </c>
      <c r="I60" s="937"/>
      <c r="J60" s="997"/>
      <c r="K60" s="997">
        <v>5200</v>
      </c>
      <c r="L60" s="997"/>
      <c r="M60" s="997"/>
      <c r="N60" s="937"/>
      <c r="O60" s="997"/>
      <c r="P60" s="937"/>
      <c r="Q60" s="937"/>
      <c r="R60" s="937"/>
      <c r="S60" s="937"/>
      <c r="T60" s="937"/>
      <c r="U60" s="997">
        <f t="shared" si="4"/>
        <v>5200</v>
      </c>
      <c r="V60" s="997">
        <f t="shared" si="5"/>
        <v>0</v>
      </c>
      <c r="W60" s="989">
        <f t="shared" si="6"/>
        <v>5200</v>
      </c>
      <c r="X60" s="989">
        <f>H60-W60</f>
        <v>19800</v>
      </c>
      <c r="Y60" s="1431">
        <f t="shared" si="9"/>
        <v>24800</v>
      </c>
    </row>
    <row r="61" spans="1:27" x14ac:dyDescent="0.25">
      <c r="A61" s="349" t="s">
        <v>208</v>
      </c>
      <c r="B61" s="134"/>
      <c r="C61" s="720">
        <v>100000</v>
      </c>
      <c r="D61" s="720"/>
      <c r="E61" s="720">
        <f t="shared" si="2"/>
        <v>100000</v>
      </c>
      <c r="F61" s="720">
        <f t="shared" si="3"/>
        <v>75000</v>
      </c>
      <c r="G61" s="720">
        <f>E61/12</f>
        <v>8333.3333333333339</v>
      </c>
      <c r="H61" s="989">
        <f t="shared" si="11"/>
        <v>83333.333333333328</v>
      </c>
      <c r="I61" s="937"/>
      <c r="J61" s="997"/>
      <c r="K61" s="997">
        <v>3500</v>
      </c>
      <c r="L61" s="997"/>
      <c r="M61" s="997"/>
      <c r="N61" s="937"/>
      <c r="O61" s="997">
        <v>3000</v>
      </c>
      <c r="P61" s="937"/>
      <c r="Q61" s="937">
        <v>13760</v>
      </c>
      <c r="R61" s="937"/>
      <c r="S61" s="937"/>
      <c r="T61" s="937"/>
      <c r="U61" s="997">
        <f t="shared" si="4"/>
        <v>20260</v>
      </c>
      <c r="V61" s="997">
        <f t="shared" si="5"/>
        <v>0</v>
      </c>
      <c r="W61" s="989">
        <f t="shared" si="6"/>
        <v>20260</v>
      </c>
      <c r="X61" s="989">
        <f>H61-W61</f>
        <v>63073.333333333328</v>
      </c>
      <c r="Y61" s="1431">
        <f t="shared" si="9"/>
        <v>79740</v>
      </c>
    </row>
    <row r="62" spans="1:27" x14ac:dyDescent="0.25">
      <c r="A62" s="349" t="s">
        <v>1389</v>
      </c>
      <c r="B62" s="134"/>
      <c r="C62" s="720">
        <v>50000</v>
      </c>
      <c r="D62" s="720"/>
      <c r="E62" s="720">
        <f t="shared" si="2"/>
        <v>50000</v>
      </c>
      <c r="F62" s="720">
        <f t="shared" si="3"/>
        <v>37500</v>
      </c>
      <c r="G62" s="720">
        <f>E62/12</f>
        <v>4166.666666666667</v>
      </c>
      <c r="H62" s="989">
        <f t="shared" si="11"/>
        <v>41666.666666666664</v>
      </c>
      <c r="I62" s="937"/>
      <c r="J62" s="997"/>
      <c r="K62" s="997"/>
      <c r="L62" s="997"/>
      <c r="M62" s="997"/>
      <c r="N62" s="937"/>
      <c r="O62" s="997"/>
      <c r="P62" s="937"/>
      <c r="Q62" s="937"/>
      <c r="R62" s="937"/>
      <c r="S62" s="937"/>
      <c r="T62" s="937"/>
      <c r="U62" s="997">
        <f t="shared" si="4"/>
        <v>0</v>
      </c>
      <c r="V62" s="997">
        <f t="shared" si="5"/>
        <v>0</v>
      </c>
      <c r="W62" s="989">
        <f t="shared" si="6"/>
        <v>0</v>
      </c>
      <c r="X62" s="989">
        <f>H62-W62</f>
        <v>41666.666666666664</v>
      </c>
      <c r="Y62" s="1275">
        <f t="shared" si="9"/>
        <v>50000</v>
      </c>
      <c r="AA62" s="987">
        <v>50000</v>
      </c>
    </row>
    <row r="63" spans="1:27" x14ac:dyDescent="0.25">
      <c r="A63" s="349" t="s">
        <v>209</v>
      </c>
      <c r="B63" s="134"/>
      <c r="C63" s="720">
        <v>150000</v>
      </c>
      <c r="D63" s="720"/>
      <c r="E63" s="720">
        <f t="shared" si="2"/>
        <v>150000</v>
      </c>
      <c r="F63" s="720">
        <f t="shared" si="3"/>
        <v>112500</v>
      </c>
      <c r="G63" s="720">
        <f>E63/12</f>
        <v>12500</v>
      </c>
      <c r="H63" s="989">
        <f t="shared" si="11"/>
        <v>125000</v>
      </c>
      <c r="I63" s="937"/>
      <c r="J63" s="997">
        <v>4900</v>
      </c>
      <c r="K63" s="997">
        <v>9750</v>
      </c>
      <c r="L63" s="997"/>
      <c r="M63" s="997"/>
      <c r="N63" s="937"/>
      <c r="O63" s="997"/>
      <c r="P63" s="937"/>
      <c r="Q63" s="937">
        <v>9040</v>
      </c>
      <c r="R63" s="937"/>
      <c r="S63" s="937"/>
      <c r="T63" s="937"/>
      <c r="U63" s="997">
        <f t="shared" si="4"/>
        <v>23690</v>
      </c>
      <c r="V63" s="997">
        <f t="shared" si="5"/>
        <v>0</v>
      </c>
      <c r="W63" s="989">
        <f t="shared" si="6"/>
        <v>23690</v>
      </c>
      <c r="X63" s="989">
        <f>H63-W63</f>
        <v>101310</v>
      </c>
      <c r="Y63" s="1275">
        <f t="shared" si="9"/>
        <v>126310</v>
      </c>
    </row>
    <row r="64" spans="1:27" x14ac:dyDescent="0.25">
      <c r="A64" s="141" t="s">
        <v>496</v>
      </c>
      <c r="B64" s="134"/>
      <c r="C64" s="720">
        <v>20000</v>
      </c>
      <c r="D64" s="720"/>
      <c r="E64" s="720">
        <f t="shared" si="2"/>
        <v>20000</v>
      </c>
      <c r="F64" s="720">
        <f t="shared" si="3"/>
        <v>15000</v>
      </c>
      <c r="G64" s="720">
        <f>E64/12</f>
        <v>1666.6666666666667</v>
      </c>
      <c r="H64" s="989">
        <f t="shared" si="11"/>
        <v>16666.666666666668</v>
      </c>
      <c r="I64" s="937"/>
      <c r="J64" s="997"/>
      <c r="K64" s="997"/>
      <c r="L64" s="997"/>
      <c r="M64" s="997"/>
      <c r="N64" s="937"/>
      <c r="O64" s="937"/>
      <c r="P64" s="937"/>
      <c r="Q64" s="937"/>
      <c r="R64" s="937"/>
      <c r="S64" s="937"/>
      <c r="T64" s="937"/>
      <c r="U64" s="997">
        <f t="shared" si="4"/>
        <v>0</v>
      </c>
      <c r="V64" s="997">
        <f t="shared" si="5"/>
        <v>0</v>
      </c>
      <c r="W64" s="989">
        <f t="shared" si="6"/>
        <v>0</v>
      </c>
      <c r="X64" s="989">
        <f>H64-W64</f>
        <v>16666.666666666668</v>
      </c>
      <c r="Y64" s="1431">
        <f t="shared" si="9"/>
        <v>20000</v>
      </c>
    </row>
    <row r="65" spans="1:27" x14ac:dyDescent="0.25">
      <c r="A65" s="146" t="s">
        <v>108</v>
      </c>
      <c r="B65" s="991"/>
      <c r="C65" s="148">
        <f t="shared" ref="C65:Y65" si="12">SUM(C7:C64)</f>
        <v>2956000</v>
      </c>
      <c r="D65" s="148">
        <f>SUM(D7:D64)</f>
        <v>33683.370000000003</v>
      </c>
      <c r="E65" s="148">
        <f t="shared" si="12"/>
        <v>2989683.37</v>
      </c>
      <c r="F65" s="148">
        <f t="shared" si="12"/>
        <v>2242262.5274999999</v>
      </c>
      <c r="G65" s="148">
        <f t="shared" si="12"/>
        <v>249140.28083333329</v>
      </c>
      <c r="H65" s="148">
        <f t="shared" si="12"/>
        <v>2491402.8083333331</v>
      </c>
      <c r="I65" s="148">
        <f t="shared" si="12"/>
        <v>7188</v>
      </c>
      <c r="J65" s="148">
        <f t="shared" si="12"/>
        <v>37118.699999999997</v>
      </c>
      <c r="K65" s="148">
        <f t="shared" si="12"/>
        <v>129227.06</v>
      </c>
      <c r="L65" s="148">
        <f t="shared" si="12"/>
        <v>76751.92</v>
      </c>
      <c r="M65" s="148">
        <f t="shared" si="12"/>
        <v>38175.01</v>
      </c>
      <c r="N65" s="148">
        <f t="shared" si="12"/>
        <v>1490</v>
      </c>
      <c r="O65" s="148">
        <f t="shared" si="12"/>
        <v>153903.09</v>
      </c>
      <c r="P65" s="148">
        <f t="shared" si="12"/>
        <v>193983.18</v>
      </c>
      <c r="Q65" s="148">
        <f t="shared" si="12"/>
        <v>91752.85</v>
      </c>
      <c r="R65" s="148">
        <f t="shared" si="12"/>
        <v>166080</v>
      </c>
      <c r="S65" s="148">
        <f t="shared" si="12"/>
        <v>0</v>
      </c>
      <c r="T65" s="148">
        <f t="shared" si="12"/>
        <v>98880</v>
      </c>
      <c r="U65" s="148">
        <f t="shared" si="12"/>
        <v>729589.80999999994</v>
      </c>
      <c r="V65" s="148">
        <f t="shared" si="12"/>
        <v>166080</v>
      </c>
      <c r="W65" s="148">
        <f t="shared" si="12"/>
        <v>895669.80999999994</v>
      </c>
      <c r="X65" s="148">
        <f t="shared" si="12"/>
        <v>1595732.9983333338</v>
      </c>
      <c r="Y65" s="148">
        <f t="shared" si="12"/>
        <v>2094013.56</v>
      </c>
    </row>
    <row r="66" spans="1:27" x14ac:dyDescent="0.25">
      <c r="A66" s="146"/>
      <c r="B66" s="991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997">
        <f t="shared" ref="U66" si="13">I66+J66+K66+L66+M66</f>
        <v>0</v>
      </c>
      <c r="V66" s="997">
        <f t="shared" ref="V66" si="14">N66</f>
        <v>0</v>
      </c>
      <c r="W66" s="148"/>
      <c r="X66" s="148"/>
      <c r="Y66" s="937"/>
    </row>
    <row r="67" spans="1:27" s="995" customFormat="1" x14ac:dyDescent="0.25">
      <c r="A67" s="126" t="s">
        <v>210</v>
      </c>
      <c r="B67" s="137"/>
      <c r="C67" s="351">
        <v>2858782.5</v>
      </c>
      <c r="D67" s="351">
        <v>14435.73</v>
      </c>
      <c r="E67" s="720">
        <f t="shared" ref="E67" si="15">SUM(C67:D67)</f>
        <v>2873218.23</v>
      </c>
      <c r="F67" s="720">
        <f t="shared" ref="F67" si="16">E67/12*7</f>
        <v>1676043.9675</v>
      </c>
      <c r="G67" s="726">
        <f>E67/12</f>
        <v>239434.85250000001</v>
      </c>
      <c r="H67" s="990">
        <f t="shared" ref="H67" si="17">F67+G67</f>
        <v>1915478.82</v>
      </c>
      <c r="I67" s="351">
        <v>0</v>
      </c>
      <c r="J67" s="351">
        <f t="shared" ref="J67" si="18">I67</f>
        <v>0</v>
      </c>
      <c r="K67" s="351">
        <v>678000</v>
      </c>
      <c r="L67" s="351">
        <v>372440</v>
      </c>
      <c r="M67" s="351"/>
      <c r="N67" s="351"/>
      <c r="O67" s="351">
        <v>56844</v>
      </c>
      <c r="P67" s="351"/>
      <c r="Q67" s="351">
        <f>3695+1331</f>
        <v>5026</v>
      </c>
      <c r="R67" s="351">
        <v>19500</v>
      </c>
      <c r="S67" s="351"/>
      <c r="T67" s="351">
        <v>19500</v>
      </c>
      <c r="U67" s="997">
        <f t="shared" ref="U67:U79" si="19">I67+J67+K67+L67+M67+N67+O67+P67+Q67</f>
        <v>1112310</v>
      </c>
      <c r="V67" s="997">
        <f t="shared" ref="V67:V79" si="20">R67</f>
        <v>19500</v>
      </c>
      <c r="W67" s="351">
        <f>U67+V67</f>
        <v>1131810</v>
      </c>
      <c r="X67" s="990">
        <f>H67-W67</f>
        <v>783668.82000000007</v>
      </c>
      <c r="Y67" s="1430">
        <f>E67-W67</f>
        <v>1741408.23</v>
      </c>
    </row>
    <row r="68" spans="1:27" x14ac:dyDescent="0.25">
      <c r="A68" s="126" t="s">
        <v>319</v>
      </c>
      <c r="B68" s="114"/>
      <c r="C68" s="351"/>
      <c r="D68" s="351"/>
      <c r="E68" s="351"/>
      <c r="F68" s="351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51"/>
      <c r="R68" s="351"/>
      <c r="S68" s="351"/>
      <c r="T68" s="351"/>
      <c r="U68" s="997">
        <f t="shared" si="19"/>
        <v>0</v>
      </c>
      <c r="V68" s="997">
        <f t="shared" si="20"/>
        <v>0</v>
      </c>
      <c r="W68" s="351"/>
      <c r="X68" s="990"/>
      <c r="Y68" s="843"/>
    </row>
    <row r="69" spans="1:27" x14ac:dyDescent="0.25">
      <c r="A69" s="149" t="s">
        <v>211</v>
      </c>
      <c r="B69" s="150"/>
      <c r="C69" s="332"/>
      <c r="D69" s="332"/>
      <c r="E69" s="332"/>
      <c r="F69" s="332"/>
      <c r="G69" s="332"/>
      <c r="H69" s="990"/>
      <c r="I69" s="937"/>
      <c r="J69" s="997"/>
      <c r="K69" s="997"/>
      <c r="L69" s="997"/>
      <c r="M69" s="997"/>
      <c r="N69" s="937"/>
      <c r="O69" s="937"/>
      <c r="P69" s="937"/>
      <c r="Q69" s="937"/>
      <c r="R69" s="937"/>
      <c r="S69" s="937"/>
      <c r="T69" s="937"/>
      <c r="U69" s="997">
        <f t="shared" si="19"/>
        <v>0</v>
      </c>
      <c r="V69" s="997">
        <f t="shared" si="20"/>
        <v>0</v>
      </c>
      <c r="W69" s="989">
        <f t="shared" ref="W69:W79" si="21">U69+V69</f>
        <v>0</v>
      </c>
      <c r="X69" s="989">
        <f>H69-W69</f>
        <v>0</v>
      </c>
      <c r="Y69" s="996">
        <f>E69-W69</f>
        <v>0</v>
      </c>
    </row>
    <row r="70" spans="1:27" x14ac:dyDescent="0.25">
      <c r="A70" s="356" t="s">
        <v>241</v>
      </c>
      <c r="B70" s="114" t="s">
        <v>116</v>
      </c>
      <c r="C70" s="998">
        <v>0</v>
      </c>
      <c r="D70" s="998"/>
      <c r="E70" s="720">
        <f t="shared" ref="E70:E79" si="22">SUM(C70:D70)</f>
        <v>0</v>
      </c>
      <c r="F70" s="998"/>
      <c r="G70" s="998">
        <f>C70</f>
        <v>0</v>
      </c>
      <c r="H70" s="989">
        <f>E70</f>
        <v>0</v>
      </c>
      <c r="I70" s="937"/>
      <c r="J70" s="997"/>
      <c r="K70" s="997"/>
      <c r="L70" s="997"/>
      <c r="M70" s="997"/>
      <c r="N70" s="937"/>
      <c r="O70" s="937"/>
      <c r="P70" s="937"/>
      <c r="Q70" s="937"/>
      <c r="R70" s="937"/>
      <c r="S70" s="937"/>
      <c r="T70" s="937"/>
      <c r="U70" s="997">
        <f t="shared" si="19"/>
        <v>0</v>
      </c>
      <c r="V70" s="997">
        <f t="shared" si="20"/>
        <v>0</v>
      </c>
      <c r="W70" s="989">
        <f t="shared" si="21"/>
        <v>0</v>
      </c>
      <c r="X70" s="989">
        <f>H70-W70</f>
        <v>0</v>
      </c>
      <c r="Y70" s="996">
        <f>E70-W70</f>
        <v>0</v>
      </c>
    </row>
    <row r="71" spans="1:27" ht="25.5" x14ac:dyDescent="0.25">
      <c r="A71" s="357" t="s">
        <v>497</v>
      </c>
      <c r="B71" s="114"/>
      <c r="C71" s="144">
        <v>200000</v>
      </c>
      <c r="D71" s="144"/>
      <c r="E71" s="720">
        <f t="shared" si="22"/>
        <v>200000</v>
      </c>
      <c r="F71" s="144">
        <f>E71</f>
        <v>200000</v>
      </c>
      <c r="G71" s="144">
        <f t="shared" ref="G71:G77" si="23">C71</f>
        <v>200000</v>
      </c>
      <c r="H71" s="327">
        <f>E71</f>
        <v>200000</v>
      </c>
      <c r="I71" s="937"/>
      <c r="J71" s="997"/>
      <c r="K71" s="997"/>
      <c r="L71" s="997"/>
      <c r="M71" s="997"/>
      <c r="N71" s="937"/>
      <c r="O71" s="937"/>
      <c r="P71" s="937"/>
      <c r="Q71" s="937"/>
      <c r="R71" s="937"/>
      <c r="S71" s="937"/>
      <c r="T71" s="937"/>
      <c r="U71" s="997">
        <f t="shared" si="19"/>
        <v>0</v>
      </c>
      <c r="V71" s="997">
        <f t="shared" si="20"/>
        <v>0</v>
      </c>
      <c r="W71" s="989">
        <f t="shared" si="21"/>
        <v>0</v>
      </c>
      <c r="X71" s="989">
        <f t="shared" ref="X71:X77" si="24">H71-W71</f>
        <v>200000</v>
      </c>
      <c r="Y71" s="996">
        <f>E71-W71</f>
        <v>200000</v>
      </c>
    </row>
    <row r="72" spans="1:27" x14ac:dyDescent="0.25">
      <c r="A72" s="356" t="s">
        <v>325</v>
      </c>
      <c r="B72" s="114"/>
      <c r="C72" s="998"/>
      <c r="D72" s="998"/>
      <c r="E72" s="720">
        <f t="shared" si="22"/>
        <v>0</v>
      </c>
      <c r="F72" s="144">
        <f t="shared" ref="F72:F79" si="25">E72</f>
        <v>0</v>
      </c>
      <c r="G72" s="998"/>
      <c r="H72" s="989"/>
      <c r="I72" s="937"/>
      <c r="J72" s="997"/>
      <c r="K72" s="997"/>
      <c r="L72" s="997"/>
      <c r="M72" s="997"/>
      <c r="N72" s="937"/>
      <c r="O72" s="937"/>
      <c r="P72" s="937"/>
      <c r="Q72" s="937"/>
      <c r="R72" s="937"/>
      <c r="S72" s="937"/>
      <c r="T72" s="937"/>
      <c r="U72" s="997">
        <f t="shared" si="19"/>
        <v>0</v>
      </c>
      <c r="V72" s="997">
        <f t="shared" si="20"/>
        <v>0</v>
      </c>
      <c r="W72" s="989">
        <f t="shared" si="21"/>
        <v>0</v>
      </c>
      <c r="X72" s="989"/>
      <c r="Y72" s="996"/>
    </row>
    <row r="73" spans="1:27" x14ac:dyDescent="0.25">
      <c r="A73" s="357" t="s">
        <v>498</v>
      </c>
      <c r="B73" s="114" t="s">
        <v>111</v>
      </c>
      <c r="C73" s="998">
        <v>20000</v>
      </c>
      <c r="D73" s="998"/>
      <c r="E73" s="720">
        <f t="shared" si="22"/>
        <v>20000</v>
      </c>
      <c r="F73" s="144">
        <f t="shared" si="25"/>
        <v>20000</v>
      </c>
      <c r="G73" s="998">
        <f t="shared" si="23"/>
        <v>20000</v>
      </c>
      <c r="H73" s="989">
        <f>E73</f>
        <v>20000</v>
      </c>
      <c r="I73" s="937"/>
      <c r="J73" s="997"/>
      <c r="K73" s="997"/>
      <c r="L73" s="997"/>
      <c r="M73" s="997"/>
      <c r="N73" s="937"/>
      <c r="O73" s="937"/>
      <c r="P73" s="937"/>
      <c r="Q73" s="937"/>
      <c r="R73" s="937"/>
      <c r="S73" s="937"/>
      <c r="T73" s="937"/>
      <c r="U73" s="997">
        <f t="shared" si="19"/>
        <v>0</v>
      </c>
      <c r="V73" s="997">
        <f t="shared" si="20"/>
        <v>0</v>
      </c>
      <c r="W73" s="989">
        <f t="shared" si="21"/>
        <v>0</v>
      </c>
      <c r="X73" s="989">
        <f t="shared" si="24"/>
        <v>20000</v>
      </c>
      <c r="Y73" s="1274">
        <f>E73-W73</f>
        <v>20000</v>
      </c>
      <c r="AA73" s="987">
        <v>20000</v>
      </c>
    </row>
    <row r="74" spans="1:27" ht="25.5" customHeight="1" x14ac:dyDescent="0.25">
      <c r="A74" s="356" t="s">
        <v>390</v>
      </c>
      <c r="B74" s="114" t="s">
        <v>113</v>
      </c>
      <c r="C74" s="998"/>
      <c r="D74" s="998"/>
      <c r="E74" s="720">
        <f t="shared" si="22"/>
        <v>0</v>
      </c>
      <c r="F74" s="144">
        <f t="shared" si="25"/>
        <v>0</v>
      </c>
      <c r="G74" s="998">
        <f t="shared" si="23"/>
        <v>0</v>
      </c>
      <c r="H74" s="989">
        <f>E74</f>
        <v>0</v>
      </c>
      <c r="I74" s="937"/>
      <c r="J74" s="997"/>
      <c r="K74" s="997"/>
      <c r="L74" s="997"/>
      <c r="M74" s="997"/>
      <c r="N74" s="937"/>
      <c r="O74" s="937"/>
      <c r="P74" s="937"/>
      <c r="Q74" s="937"/>
      <c r="R74" s="937"/>
      <c r="S74" s="937"/>
      <c r="T74" s="937"/>
      <c r="U74" s="997">
        <f t="shared" si="19"/>
        <v>0</v>
      </c>
      <c r="V74" s="997">
        <f t="shared" si="20"/>
        <v>0</v>
      </c>
      <c r="W74" s="989">
        <f t="shared" si="21"/>
        <v>0</v>
      </c>
      <c r="X74" s="989">
        <f t="shared" si="24"/>
        <v>0</v>
      </c>
      <c r="Y74" s="996">
        <f>E74-W74</f>
        <v>0</v>
      </c>
    </row>
    <row r="75" spans="1:27" x14ac:dyDescent="0.25">
      <c r="A75" s="357" t="s">
        <v>499</v>
      </c>
      <c r="B75" s="114"/>
      <c r="C75" s="998">
        <v>70000</v>
      </c>
      <c r="D75" s="998"/>
      <c r="E75" s="720">
        <f t="shared" si="22"/>
        <v>70000</v>
      </c>
      <c r="F75" s="144">
        <f t="shared" si="25"/>
        <v>70000</v>
      </c>
      <c r="G75" s="998">
        <f t="shared" si="23"/>
        <v>70000</v>
      </c>
      <c r="H75" s="989">
        <f>E75</f>
        <v>70000</v>
      </c>
      <c r="I75" s="937"/>
      <c r="J75" s="997"/>
      <c r="K75" s="997"/>
      <c r="L75" s="997"/>
      <c r="M75" s="997"/>
      <c r="N75" s="937"/>
      <c r="O75" s="937"/>
      <c r="P75" s="937"/>
      <c r="Q75" s="937"/>
      <c r="R75" s="937"/>
      <c r="S75" s="937"/>
      <c r="T75" s="937"/>
      <c r="U75" s="997">
        <f t="shared" si="19"/>
        <v>0</v>
      </c>
      <c r="V75" s="997">
        <f t="shared" si="20"/>
        <v>0</v>
      </c>
      <c r="W75" s="989">
        <f t="shared" si="21"/>
        <v>0</v>
      </c>
      <c r="X75" s="989">
        <f t="shared" si="24"/>
        <v>70000</v>
      </c>
      <c r="Y75" s="1274">
        <f>E75-W75</f>
        <v>70000</v>
      </c>
      <c r="AA75" s="987">
        <v>70000</v>
      </c>
    </row>
    <row r="76" spans="1:27" x14ac:dyDescent="0.25">
      <c r="A76" s="356" t="s">
        <v>500</v>
      </c>
      <c r="B76" s="114" t="s">
        <v>501</v>
      </c>
      <c r="C76" s="998"/>
      <c r="D76" s="998"/>
      <c r="E76" s="720">
        <f t="shared" si="22"/>
        <v>0</v>
      </c>
      <c r="F76" s="144">
        <f t="shared" si="25"/>
        <v>0</v>
      </c>
      <c r="G76" s="998"/>
      <c r="H76" s="989"/>
      <c r="I76" s="937"/>
      <c r="J76" s="997"/>
      <c r="K76" s="997"/>
      <c r="L76" s="997"/>
      <c r="M76" s="997"/>
      <c r="N76" s="937"/>
      <c r="O76" s="937"/>
      <c r="P76" s="937"/>
      <c r="Q76" s="937"/>
      <c r="R76" s="937"/>
      <c r="S76" s="937"/>
      <c r="T76" s="937"/>
      <c r="U76" s="997">
        <f t="shared" si="19"/>
        <v>0</v>
      </c>
      <c r="V76" s="997">
        <f t="shared" si="20"/>
        <v>0</v>
      </c>
      <c r="W76" s="989">
        <f t="shared" si="21"/>
        <v>0</v>
      </c>
      <c r="X76" s="989"/>
      <c r="Y76" s="996"/>
    </row>
    <row r="77" spans="1:27" x14ac:dyDescent="0.25">
      <c r="A77" s="357" t="s">
        <v>502</v>
      </c>
      <c r="C77" s="998">
        <v>24492.5</v>
      </c>
      <c r="D77" s="998"/>
      <c r="E77" s="720">
        <f t="shared" si="22"/>
        <v>24492.5</v>
      </c>
      <c r="F77" s="144">
        <f t="shared" si="25"/>
        <v>24492.5</v>
      </c>
      <c r="G77" s="998">
        <f t="shared" si="23"/>
        <v>24492.5</v>
      </c>
      <c r="H77" s="989">
        <f>E77</f>
        <v>24492.5</v>
      </c>
      <c r="I77" s="937"/>
      <c r="J77" s="997"/>
      <c r="K77" s="997"/>
      <c r="L77" s="997"/>
      <c r="M77" s="997"/>
      <c r="N77" s="937"/>
      <c r="O77" s="937"/>
      <c r="P77" s="937">
        <v>23400</v>
      </c>
      <c r="Q77" s="937"/>
      <c r="R77" s="937"/>
      <c r="S77" s="937"/>
      <c r="T77" s="937"/>
      <c r="U77" s="997">
        <f t="shared" si="19"/>
        <v>23400</v>
      </c>
      <c r="V77" s="997">
        <f t="shared" si="20"/>
        <v>0</v>
      </c>
      <c r="W77" s="989">
        <f t="shared" si="21"/>
        <v>23400</v>
      </c>
      <c r="X77" s="989">
        <f t="shared" si="24"/>
        <v>1092.5</v>
      </c>
      <c r="Y77" s="996">
        <f>E77-W77</f>
        <v>1092.5</v>
      </c>
    </row>
    <row r="78" spans="1:27" x14ac:dyDescent="0.25">
      <c r="A78" s="356" t="s">
        <v>503</v>
      </c>
      <c r="B78" s="114" t="s">
        <v>275</v>
      </c>
      <c r="C78" s="998"/>
      <c r="D78" s="998"/>
      <c r="E78" s="720">
        <f t="shared" si="22"/>
        <v>0</v>
      </c>
      <c r="F78" s="144">
        <f t="shared" si="25"/>
        <v>0</v>
      </c>
      <c r="G78" s="998"/>
      <c r="H78" s="989"/>
      <c r="I78" s="937"/>
      <c r="J78" s="997"/>
      <c r="K78" s="997"/>
      <c r="L78" s="997"/>
      <c r="M78" s="997"/>
      <c r="N78" s="937"/>
      <c r="O78" s="937"/>
      <c r="P78" s="937"/>
      <c r="Q78" s="937"/>
      <c r="R78" s="937"/>
      <c r="S78" s="937"/>
      <c r="T78" s="937"/>
      <c r="U78" s="997">
        <f t="shared" si="19"/>
        <v>0</v>
      </c>
      <c r="V78" s="997">
        <f t="shared" si="20"/>
        <v>0</v>
      </c>
      <c r="W78" s="989">
        <f t="shared" si="21"/>
        <v>0</v>
      </c>
      <c r="X78" s="989"/>
      <c r="Y78" s="996"/>
    </row>
    <row r="79" spans="1:27" ht="25.5" x14ac:dyDescent="0.25">
      <c r="A79" s="357" t="s">
        <v>504</v>
      </c>
      <c r="B79" s="114"/>
      <c r="C79" s="998">
        <v>3400000</v>
      </c>
      <c r="D79" s="998"/>
      <c r="E79" s="720">
        <f t="shared" si="22"/>
        <v>3400000</v>
      </c>
      <c r="F79" s="144">
        <f t="shared" si="25"/>
        <v>3400000</v>
      </c>
      <c r="G79" s="998">
        <f t="shared" ref="G79" si="26">C79</f>
        <v>3400000</v>
      </c>
      <c r="H79" s="989">
        <f>E79</f>
        <v>3400000</v>
      </c>
      <c r="I79" s="937"/>
      <c r="J79" s="997"/>
      <c r="K79" s="997"/>
      <c r="L79" s="997"/>
      <c r="M79" s="997"/>
      <c r="N79" s="937"/>
      <c r="O79" s="997">
        <v>3400000</v>
      </c>
      <c r="P79" s="937"/>
      <c r="Q79" s="937"/>
      <c r="R79" s="937"/>
      <c r="S79" s="937"/>
      <c r="T79" s="937"/>
      <c r="U79" s="997">
        <f t="shared" si="19"/>
        <v>3400000</v>
      </c>
      <c r="V79" s="997">
        <f t="shared" si="20"/>
        <v>0</v>
      </c>
      <c r="W79" s="989">
        <f t="shared" si="21"/>
        <v>3400000</v>
      </c>
      <c r="X79" s="989">
        <f t="shared" ref="X79" si="27">H79-W79</f>
        <v>0</v>
      </c>
      <c r="Y79" s="996">
        <f>E79-W79</f>
        <v>0</v>
      </c>
    </row>
    <row r="80" spans="1:27" s="995" customFormat="1" x14ac:dyDescent="0.25">
      <c r="A80" s="982" t="s">
        <v>332</v>
      </c>
      <c r="B80" s="137"/>
      <c r="C80" s="1000">
        <f>SUM(C70:C79)</f>
        <v>3714492.5</v>
      </c>
      <c r="D80" s="1000">
        <f>SUM(D70:D79)</f>
        <v>0</v>
      </c>
      <c r="E80" s="1000">
        <f t="shared" ref="E80:Y80" si="28">SUM(E70:E79)</f>
        <v>3714492.5</v>
      </c>
      <c r="F80" s="1000">
        <f t="shared" si="28"/>
        <v>3714492.5</v>
      </c>
      <c r="G80" s="1000">
        <f t="shared" si="28"/>
        <v>3714492.5</v>
      </c>
      <c r="H80" s="1000">
        <f t="shared" si="28"/>
        <v>3714492.5</v>
      </c>
      <c r="I80" s="1000">
        <f t="shared" si="28"/>
        <v>0</v>
      </c>
      <c r="J80" s="1000">
        <f t="shared" si="28"/>
        <v>0</v>
      </c>
      <c r="K80" s="1000">
        <f t="shared" si="28"/>
        <v>0</v>
      </c>
      <c r="L80" s="1000">
        <f t="shared" si="28"/>
        <v>0</v>
      </c>
      <c r="M80" s="1000">
        <f t="shared" si="28"/>
        <v>0</v>
      </c>
      <c r="N80" s="1000">
        <f t="shared" si="28"/>
        <v>0</v>
      </c>
      <c r="O80" s="1000">
        <f t="shared" si="28"/>
        <v>3400000</v>
      </c>
      <c r="P80" s="1000">
        <f t="shared" si="28"/>
        <v>23400</v>
      </c>
      <c r="Q80" s="1000">
        <f t="shared" si="28"/>
        <v>0</v>
      </c>
      <c r="R80" s="1000">
        <f t="shared" si="28"/>
        <v>0</v>
      </c>
      <c r="S80" s="1000">
        <f t="shared" si="28"/>
        <v>0</v>
      </c>
      <c r="T80" s="1000">
        <f t="shared" si="28"/>
        <v>0</v>
      </c>
      <c r="U80" s="1000">
        <f>SUM(U70:U79)</f>
        <v>3423400</v>
      </c>
      <c r="V80" s="1000">
        <f t="shared" si="28"/>
        <v>0</v>
      </c>
      <c r="W80" s="1000">
        <f t="shared" si="28"/>
        <v>3423400</v>
      </c>
      <c r="X80" s="1000">
        <f t="shared" si="28"/>
        <v>291092.5</v>
      </c>
      <c r="Y80" s="1000">
        <f t="shared" si="28"/>
        <v>291092.5</v>
      </c>
    </row>
    <row r="81" spans="1:25" x14ac:dyDescent="0.25">
      <c r="A81" s="354" t="s">
        <v>320</v>
      </c>
      <c r="B81" s="114"/>
      <c r="C81" s="998"/>
      <c r="D81" s="998"/>
      <c r="E81" s="998"/>
      <c r="F81" s="998"/>
      <c r="G81" s="998"/>
      <c r="H81" s="989"/>
      <c r="I81" s="937"/>
      <c r="J81" s="997"/>
      <c r="K81" s="997"/>
      <c r="L81" s="997"/>
      <c r="M81" s="997"/>
      <c r="N81" s="937"/>
      <c r="O81" s="937"/>
      <c r="P81" s="937"/>
      <c r="Q81" s="937"/>
      <c r="R81" s="937"/>
      <c r="S81" s="937"/>
      <c r="T81" s="937"/>
      <c r="U81" s="997"/>
      <c r="V81" s="997"/>
      <c r="W81" s="990"/>
      <c r="X81" s="989"/>
      <c r="Y81" s="996"/>
    </row>
    <row r="82" spans="1:25" x14ac:dyDescent="0.25">
      <c r="A82" s="983" t="s">
        <v>211</v>
      </c>
      <c r="B82" s="114"/>
      <c r="C82" s="998"/>
      <c r="D82" s="998"/>
      <c r="E82" s="998"/>
      <c r="F82" s="998"/>
      <c r="G82" s="998"/>
      <c r="H82" s="989"/>
      <c r="I82" s="937"/>
      <c r="J82" s="997"/>
      <c r="K82" s="997"/>
      <c r="L82" s="997"/>
      <c r="M82" s="997"/>
      <c r="N82" s="937"/>
      <c r="O82" s="937"/>
      <c r="P82" s="937"/>
      <c r="Q82" s="937"/>
      <c r="R82" s="937"/>
      <c r="S82" s="937"/>
      <c r="T82" s="937"/>
      <c r="U82" s="997">
        <f t="shared" ref="U82:U100" si="29">I82+J82+K82+L82+M82+N82+O82+P82+Q82</f>
        <v>0</v>
      </c>
      <c r="V82" s="997">
        <f t="shared" ref="V82:V100" si="30">R82</f>
        <v>0</v>
      </c>
      <c r="W82" s="989">
        <f t="shared" ref="W82:W100" si="31">U82+V82</f>
        <v>0</v>
      </c>
      <c r="X82" s="989"/>
      <c r="Y82" s="996"/>
    </row>
    <row r="83" spans="1:25" x14ac:dyDescent="0.25">
      <c r="A83" s="986" t="s">
        <v>1166</v>
      </c>
      <c r="B83" s="991"/>
      <c r="C83" s="991">
        <v>37215</v>
      </c>
      <c r="D83" s="991"/>
      <c r="E83" s="720">
        <f t="shared" ref="E83:E100" si="32">SUM(C83:D83)</f>
        <v>37215</v>
      </c>
      <c r="F83" s="144">
        <f t="shared" ref="F83:F100" si="33">E83</f>
        <v>37215</v>
      </c>
      <c r="G83" s="998">
        <f t="shared" ref="G83:G100" si="34">C83</f>
        <v>37215</v>
      </c>
      <c r="H83" s="989">
        <f t="shared" ref="H83:H100" si="35">E83</f>
        <v>37215</v>
      </c>
      <c r="I83" s="937"/>
      <c r="J83" s="997"/>
      <c r="K83" s="997"/>
      <c r="L83" s="997"/>
      <c r="M83" s="997"/>
      <c r="N83" s="937"/>
      <c r="O83" s="937"/>
      <c r="Q83" s="937"/>
      <c r="R83" s="937"/>
      <c r="S83" s="937"/>
      <c r="T83" s="937"/>
      <c r="U83" s="997">
        <f t="shared" si="29"/>
        <v>0</v>
      </c>
      <c r="V83" s="997">
        <f t="shared" si="30"/>
        <v>0</v>
      </c>
      <c r="W83" s="989">
        <f t="shared" si="31"/>
        <v>0</v>
      </c>
      <c r="X83" s="989">
        <f t="shared" ref="X83:X100" si="36">H83-W83</f>
        <v>37215</v>
      </c>
      <c r="Y83" s="996">
        <f t="shared" ref="Y83:Y100" si="37">E83-W83</f>
        <v>37215</v>
      </c>
    </row>
    <row r="84" spans="1:25" x14ac:dyDescent="0.25">
      <c r="A84" s="986" t="s">
        <v>1167</v>
      </c>
      <c r="B84" s="991"/>
      <c r="C84" s="991">
        <v>80</v>
      </c>
      <c r="D84" s="991"/>
      <c r="E84" s="720">
        <f t="shared" si="32"/>
        <v>80</v>
      </c>
      <c r="F84" s="144">
        <f t="shared" si="33"/>
        <v>80</v>
      </c>
      <c r="G84" s="998">
        <f t="shared" si="34"/>
        <v>80</v>
      </c>
      <c r="H84" s="989">
        <f t="shared" si="35"/>
        <v>80</v>
      </c>
      <c r="I84" s="937"/>
      <c r="J84" s="997"/>
      <c r="K84" s="997"/>
      <c r="L84" s="997"/>
      <c r="M84" s="997"/>
      <c r="N84" s="937"/>
      <c r="O84" s="937"/>
      <c r="P84" s="937"/>
      <c r="Q84" s="937"/>
      <c r="R84" s="937"/>
      <c r="S84" s="937"/>
      <c r="T84" s="937"/>
      <c r="U84" s="997">
        <f t="shared" si="29"/>
        <v>0</v>
      </c>
      <c r="V84" s="997">
        <f t="shared" si="30"/>
        <v>0</v>
      </c>
      <c r="W84" s="989">
        <f t="shared" si="31"/>
        <v>0</v>
      </c>
      <c r="X84" s="989">
        <f t="shared" si="36"/>
        <v>80</v>
      </c>
      <c r="Y84" s="996">
        <f t="shared" si="37"/>
        <v>80</v>
      </c>
    </row>
    <row r="85" spans="1:25" x14ac:dyDescent="0.25">
      <c r="A85" s="986" t="s">
        <v>1168</v>
      </c>
      <c r="B85" s="991"/>
      <c r="C85" s="991">
        <v>45</v>
      </c>
      <c r="D85" s="991"/>
      <c r="E85" s="720">
        <f t="shared" si="32"/>
        <v>45</v>
      </c>
      <c r="F85" s="144">
        <f t="shared" si="33"/>
        <v>45</v>
      </c>
      <c r="G85" s="998">
        <f t="shared" si="34"/>
        <v>45</v>
      </c>
      <c r="H85" s="989">
        <f t="shared" si="35"/>
        <v>45</v>
      </c>
      <c r="I85" s="937"/>
      <c r="J85" s="997"/>
      <c r="K85" s="997"/>
      <c r="L85" s="997"/>
      <c r="M85" s="997"/>
      <c r="N85" s="937"/>
      <c r="O85" s="937"/>
      <c r="P85" s="937"/>
      <c r="Q85" s="937"/>
      <c r="R85" s="937"/>
      <c r="S85" s="937"/>
      <c r="T85" s="937"/>
      <c r="U85" s="997">
        <f t="shared" si="29"/>
        <v>0</v>
      </c>
      <c r="V85" s="997">
        <f t="shared" si="30"/>
        <v>0</v>
      </c>
      <c r="W85" s="989">
        <f t="shared" si="31"/>
        <v>0</v>
      </c>
      <c r="X85" s="989">
        <f t="shared" si="36"/>
        <v>45</v>
      </c>
      <c r="Y85" s="996">
        <f t="shared" si="37"/>
        <v>45</v>
      </c>
    </row>
    <row r="86" spans="1:25" x14ac:dyDescent="0.25">
      <c r="A86" s="986" t="s">
        <v>1169</v>
      </c>
      <c r="B86" s="991"/>
      <c r="C86" s="991">
        <v>5</v>
      </c>
      <c r="D86" s="991"/>
      <c r="E86" s="720">
        <f t="shared" si="32"/>
        <v>5</v>
      </c>
      <c r="F86" s="144">
        <f t="shared" si="33"/>
        <v>5</v>
      </c>
      <c r="G86" s="998">
        <f t="shared" si="34"/>
        <v>5</v>
      </c>
      <c r="H86" s="989">
        <f t="shared" si="35"/>
        <v>5</v>
      </c>
      <c r="I86" s="937"/>
      <c r="J86" s="997"/>
      <c r="K86" s="997"/>
      <c r="L86" s="997"/>
      <c r="M86" s="997"/>
      <c r="N86" s="937"/>
      <c r="O86" s="937"/>
      <c r="P86" s="937"/>
      <c r="Q86" s="937"/>
      <c r="R86" s="937"/>
      <c r="S86" s="937"/>
      <c r="T86" s="937"/>
      <c r="U86" s="997">
        <f t="shared" si="29"/>
        <v>0</v>
      </c>
      <c r="V86" s="997">
        <f t="shared" si="30"/>
        <v>0</v>
      </c>
      <c r="W86" s="989">
        <f t="shared" si="31"/>
        <v>0</v>
      </c>
      <c r="X86" s="989">
        <f t="shared" si="36"/>
        <v>5</v>
      </c>
      <c r="Y86" s="996">
        <f t="shared" si="37"/>
        <v>5</v>
      </c>
    </row>
    <row r="87" spans="1:25" x14ac:dyDescent="0.25">
      <c r="A87" s="986" t="s">
        <v>1170</v>
      </c>
      <c r="B87" s="991"/>
      <c r="C87" s="991">
        <v>1000</v>
      </c>
      <c r="D87" s="991"/>
      <c r="E87" s="720">
        <f t="shared" si="32"/>
        <v>1000</v>
      </c>
      <c r="F87" s="144">
        <f t="shared" si="33"/>
        <v>1000</v>
      </c>
      <c r="G87" s="998">
        <f t="shared" si="34"/>
        <v>1000</v>
      </c>
      <c r="H87" s="989">
        <f t="shared" si="35"/>
        <v>1000</v>
      </c>
      <c r="I87" s="937"/>
      <c r="J87" s="997"/>
      <c r="K87" s="997"/>
      <c r="L87" s="997"/>
      <c r="M87" s="997"/>
      <c r="N87" s="937"/>
      <c r="O87" s="937"/>
      <c r="P87" s="937"/>
      <c r="Q87" s="937"/>
      <c r="R87" s="937"/>
      <c r="S87" s="937"/>
      <c r="T87" s="937"/>
      <c r="U87" s="997">
        <f t="shared" si="29"/>
        <v>0</v>
      </c>
      <c r="V87" s="997">
        <f t="shared" si="30"/>
        <v>0</v>
      </c>
      <c r="W87" s="989">
        <f t="shared" si="31"/>
        <v>0</v>
      </c>
      <c r="X87" s="989">
        <f t="shared" si="36"/>
        <v>1000</v>
      </c>
      <c r="Y87" s="996">
        <f t="shared" si="37"/>
        <v>1000</v>
      </c>
    </row>
    <row r="88" spans="1:25" x14ac:dyDescent="0.25">
      <c r="A88" s="985" t="s">
        <v>1171</v>
      </c>
      <c r="B88" s="991"/>
      <c r="C88" s="991">
        <v>20</v>
      </c>
      <c r="D88" s="991"/>
      <c r="E88" s="720">
        <f t="shared" si="32"/>
        <v>20</v>
      </c>
      <c r="F88" s="144">
        <f t="shared" si="33"/>
        <v>20</v>
      </c>
      <c r="G88" s="998">
        <f t="shared" si="34"/>
        <v>20</v>
      </c>
      <c r="H88" s="989">
        <f t="shared" si="35"/>
        <v>20</v>
      </c>
      <c r="I88" s="937"/>
      <c r="J88" s="997"/>
      <c r="K88" s="997"/>
      <c r="L88" s="997"/>
      <c r="M88" s="997"/>
      <c r="N88" s="937"/>
      <c r="O88" s="937"/>
      <c r="P88" s="937"/>
      <c r="Q88" s="937"/>
      <c r="R88" s="937"/>
      <c r="S88" s="937"/>
      <c r="T88" s="937"/>
      <c r="U88" s="997">
        <f t="shared" si="29"/>
        <v>0</v>
      </c>
      <c r="V88" s="997">
        <f t="shared" si="30"/>
        <v>0</v>
      </c>
      <c r="W88" s="989">
        <f t="shared" si="31"/>
        <v>0</v>
      </c>
      <c r="X88" s="989">
        <f t="shared" si="36"/>
        <v>20</v>
      </c>
      <c r="Y88" s="996">
        <f t="shared" si="37"/>
        <v>20</v>
      </c>
    </row>
    <row r="89" spans="1:25" x14ac:dyDescent="0.25">
      <c r="A89" s="985" t="s">
        <v>502</v>
      </c>
      <c r="B89" s="991"/>
      <c r="C89" s="991">
        <v>40</v>
      </c>
      <c r="D89" s="991"/>
      <c r="E89" s="720">
        <f t="shared" si="32"/>
        <v>40</v>
      </c>
      <c r="F89" s="144">
        <f t="shared" si="33"/>
        <v>40</v>
      </c>
      <c r="G89" s="998">
        <f t="shared" si="34"/>
        <v>40</v>
      </c>
      <c r="H89" s="989">
        <f t="shared" si="35"/>
        <v>40</v>
      </c>
      <c r="I89" s="937"/>
      <c r="J89" s="997"/>
      <c r="K89" s="997"/>
      <c r="L89" s="997"/>
      <c r="M89" s="997"/>
      <c r="N89" s="937"/>
      <c r="O89" s="937"/>
      <c r="P89" s="937"/>
      <c r="Q89" s="937"/>
      <c r="R89" s="937"/>
      <c r="S89" s="937"/>
      <c r="T89" s="937"/>
      <c r="U89" s="997">
        <f t="shared" si="29"/>
        <v>0</v>
      </c>
      <c r="V89" s="997">
        <f t="shared" si="30"/>
        <v>0</v>
      </c>
      <c r="W89" s="989">
        <f t="shared" si="31"/>
        <v>0</v>
      </c>
      <c r="X89" s="989">
        <f t="shared" si="36"/>
        <v>40</v>
      </c>
      <c r="Y89" s="996">
        <f t="shared" si="37"/>
        <v>40</v>
      </c>
    </row>
    <row r="90" spans="1:25" x14ac:dyDescent="0.25">
      <c r="A90" s="985" t="s">
        <v>1172</v>
      </c>
      <c r="B90" s="991"/>
      <c r="C90" s="991">
        <v>120</v>
      </c>
      <c r="D90" s="991"/>
      <c r="E90" s="720">
        <f t="shared" si="32"/>
        <v>120</v>
      </c>
      <c r="F90" s="144">
        <f t="shared" si="33"/>
        <v>120</v>
      </c>
      <c r="G90" s="998">
        <f t="shared" si="34"/>
        <v>120</v>
      </c>
      <c r="H90" s="989">
        <f t="shared" si="35"/>
        <v>120</v>
      </c>
      <c r="I90" s="937"/>
      <c r="J90" s="997"/>
      <c r="K90" s="997"/>
      <c r="L90" s="997"/>
      <c r="M90" s="997"/>
      <c r="N90" s="937"/>
      <c r="O90" s="937"/>
      <c r="P90" s="937"/>
      <c r="Q90" s="937"/>
      <c r="R90" s="937"/>
      <c r="S90" s="937"/>
      <c r="T90" s="937"/>
      <c r="U90" s="997">
        <f t="shared" si="29"/>
        <v>0</v>
      </c>
      <c r="V90" s="997">
        <f t="shared" si="30"/>
        <v>0</v>
      </c>
      <c r="W90" s="989">
        <f t="shared" si="31"/>
        <v>0</v>
      </c>
      <c r="X90" s="989">
        <f t="shared" si="36"/>
        <v>120</v>
      </c>
      <c r="Y90" s="996">
        <f t="shared" si="37"/>
        <v>120</v>
      </c>
    </row>
    <row r="91" spans="1:25" x14ac:dyDescent="0.25">
      <c r="A91" s="985" t="s">
        <v>1173</v>
      </c>
      <c r="B91" s="991"/>
      <c r="C91" s="991">
        <v>132</v>
      </c>
      <c r="D91" s="991"/>
      <c r="E91" s="720">
        <f t="shared" si="32"/>
        <v>132</v>
      </c>
      <c r="F91" s="144">
        <f t="shared" si="33"/>
        <v>132</v>
      </c>
      <c r="G91" s="998">
        <f t="shared" si="34"/>
        <v>132</v>
      </c>
      <c r="H91" s="989">
        <f t="shared" si="35"/>
        <v>132</v>
      </c>
      <c r="I91" s="937"/>
      <c r="J91" s="997"/>
      <c r="K91" s="997"/>
      <c r="L91" s="997"/>
      <c r="M91" s="997"/>
      <c r="N91" s="937"/>
      <c r="O91" s="937"/>
      <c r="P91" s="937"/>
      <c r="Q91" s="937"/>
      <c r="R91" s="937"/>
      <c r="S91" s="937"/>
      <c r="T91" s="937"/>
      <c r="U91" s="997">
        <f t="shared" si="29"/>
        <v>0</v>
      </c>
      <c r="V91" s="997">
        <f t="shared" si="30"/>
        <v>0</v>
      </c>
      <c r="W91" s="989">
        <f t="shared" si="31"/>
        <v>0</v>
      </c>
      <c r="X91" s="989">
        <f t="shared" si="36"/>
        <v>132</v>
      </c>
      <c r="Y91" s="996">
        <f t="shared" si="37"/>
        <v>132</v>
      </c>
    </row>
    <row r="92" spans="1:25" x14ac:dyDescent="0.25">
      <c r="A92" s="985" t="s">
        <v>1174</v>
      </c>
      <c r="B92" s="991"/>
      <c r="C92" s="991">
        <v>80</v>
      </c>
      <c r="D92" s="991"/>
      <c r="E92" s="720">
        <f t="shared" si="32"/>
        <v>80</v>
      </c>
      <c r="F92" s="144">
        <f t="shared" si="33"/>
        <v>80</v>
      </c>
      <c r="G92" s="998">
        <f t="shared" si="34"/>
        <v>80</v>
      </c>
      <c r="H92" s="989">
        <f t="shared" si="35"/>
        <v>80</v>
      </c>
      <c r="I92" s="937"/>
      <c r="J92" s="997"/>
      <c r="K92" s="997"/>
      <c r="L92" s="997"/>
      <c r="M92" s="997"/>
      <c r="N92" s="937"/>
      <c r="O92" s="937"/>
      <c r="P92" s="937"/>
      <c r="Q92" s="937"/>
      <c r="R92" s="937"/>
      <c r="S92" s="937"/>
      <c r="T92" s="937"/>
      <c r="U92" s="997">
        <f t="shared" si="29"/>
        <v>0</v>
      </c>
      <c r="V92" s="997">
        <f t="shared" si="30"/>
        <v>0</v>
      </c>
      <c r="W92" s="989">
        <f t="shared" si="31"/>
        <v>0</v>
      </c>
      <c r="X92" s="989">
        <f t="shared" si="36"/>
        <v>80</v>
      </c>
      <c r="Y92" s="996">
        <f t="shared" si="37"/>
        <v>80</v>
      </c>
    </row>
    <row r="93" spans="1:25" x14ac:dyDescent="0.25">
      <c r="A93" s="992" t="s">
        <v>425</v>
      </c>
      <c r="B93" s="991" t="s">
        <v>43</v>
      </c>
      <c r="C93" s="991"/>
      <c r="D93" s="991"/>
      <c r="E93" s="720">
        <f t="shared" si="32"/>
        <v>0</v>
      </c>
      <c r="F93" s="144">
        <f t="shared" si="33"/>
        <v>0</v>
      </c>
      <c r="G93" s="998">
        <f t="shared" si="34"/>
        <v>0</v>
      </c>
      <c r="H93" s="989">
        <f t="shared" si="35"/>
        <v>0</v>
      </c>
      <c r="I93" s="937"/>
      <c r="J93" s="997"/>
      <c r="K93" s="997"/>
      <c r="L93" s="997"/>
      <c r="M93" s="997"/>
      <c r="N93" s="937"/>
      <c r="O93" s="937"/>
      <c r="P93" s="937"/>
      <c r="Q93" s="937"/>
      <c r="R93" s="937"/>
      <c r="S93" s="937"/>
      <c r="T93" s="937"/>
      <c r="U93" s="997">
        <f t="shared" si="29"/>
        <v>0</v>
      </c>
      <c r="V93" s="997">
        <f t="shared" si="30"/>
        <v>0</v>
      </c>
      <c r="W93" s="989">
        <f t="shared" si="31"/>
        <v>0</v>
      </c>
      <c r="X93" s="989">
        <f t="shared" si="36"/>
        <v>0</v>
      </c>
      <c r="Y93" s="996">
        <f t="shared" si="37"/>
        <v>0</v>
      </c>
    </row>
    <row r="94" spans="1:25" x14ac:dyDescent="0.25">
      <c r="A94" s="993" t="s">
        <v>1175</v>
      </c>
      <c r="B94" s="991"/>
      <c r="C94" s="991">
        <v>52280</v>
      </c>
      <c r="D94" s="991"/>
      <c r="E94" s="720">
        <f t="shared" si="32"/>
        <v>52280</v>
      </c>
      <c r="F94" s="144">
        <f t="shared" si="33"/>
        <v>52280</v>
      </c>
      <c r="G94" s="998">
        <f t="shared" si="34"/>
        <v>52280</v>
      </c>
      <c r="H94" s="989">
        <f t="shared" si="35"/>
        <v>52280</v>
      </c>
      <c r="I94" s="937"/>
      <c r="J94" s="997">
        <v>51800</v>
      </c>
      <c r="K94" s="997"/>
      <c r="L94" s="997"/>
      <c r="M94" s="997"/>
      <c r="N94" s="937"/>
      <c r="O94" s="937"/>
      <c r="P94" s="937"/>
      <c r="Q94" s="937"/>
      <c r="R94" s="937"/>
      <c r="S94" s="937"/>
      <c r="T94" s="937"/>
      <c r="U94" s="997">
        <f t="shared" si="29"/>
        <v>51800</v>
      </c>
      <c r="V94" s="997">
        <f t="shared" si="30"/>
        <v>0</v>
      </c>
      <c r="W94" s="989">
        <f t="shared" si="31"/>
        <v>51800</v>
      </c>
      <c r="X94" s="989">
        <f t="shared" si="36"/>
        <v>480</v>
      </c>
      <c r="Y94" s="996">
        <f t="shared" si="37"/>
        <v>480</v>
      </c>
    </row>
    <row r="95" spans="1:25" x14ac:dyDescent="0.25">
      <c r="A95" s="994" t="s">
        <v>1176</v>
      </c>
      <c r="B95" s="991"/>
      <c r="C95" s="991">
        <v>27110</v>
      </c>
      <c r="D95" s="991"/>
      <c r="E95" s="720">
        <f t="shared" si="32"/>
        <v>27110</v>
      </c>
      <c r="F95" s="144">
        <f t="shared" si="33"/>
        <v>27110</v>
      </c>
      <c r="G95" s="998">
        <f t="shared" si="34"/>
        <v>27110</v>
      </c>
      <c r="H95" s="989">
        <f t="shared" si="35"/>
        <v>27110</v>
      </c>
      <c r="I95" s="937"/>
      <c r="J95" s="997">
        <v>25900</v>
      </c>
      <c r="K95" s="997"/>
      <c r="L95" s="997"/>
      <c r="M95" s="997"/>
      <c r="N95" s="937"/>
      <c r="O95" s="937"/>
      <c r="P95" s="937"/>
      <c r="Q95" s="937"/>
      <c r="R95" s="937"/>
      <c r="S95" s="937"/>
      <c r="T95" s="937"/>
      <c r="U95" s="997">
        <f t="shared" si="29"/>
        <v>25900</v>
      </c>
      <c r="V95" s="997">
        <f t="shared" si="30"/>
        <v>0</v>
      </c>
      <c r="W95" s="989">
        <f t="shared" si="31"/>
        <v>25900</v>
      </c>
      <c r="X95" s="989">
        <f t="shared" si="36"/>
        <v>1210</v>
      </c>
      <c r="Y95" s="996">
        <f t="shared" si="37"/>
        <v>1210</v>
      </c>
    </row>
    <row r="96" spans="1:25" ht="25.5" x14ac:dyDescent="0.25">
      <c r="A96" s="1002" t="s">
        <v>1177</v>
      </c>
      <c r="B96" s="991"/>
      <c r="C96" s="991">
        <v>850</v>
      </c>
      <c r="D96" s="991"/>
      <c r="E96" s="720">
        <f t="shared" si="32"/>
        <v>850</v>
      </c>
      <c r="F96" s="144">
        <f t="shared" si="33"/>
        <v>850</v>
      </c>
      <c r="G96" s="998">
        <f t="shared" si="34"/>
        <v>850</v>
      </c>
      <c r="H96" s="989">
        <f t="shared" si="35"/>
        <v>850</v>
      </c>
      <c r="I96" s="937"/>
      <c r="J96" s="997"/>
      <c r="K96" s="997"/>
      <c r="L96" s="997"/>
      <c r="M96" s="997"/>
      <c r="N96" s="937"/>
      <c r="O96" s="937"/>
      <c r="P96" s="937"/>
      <c r="Q96" s="937"/>
      <c r="R96" s="937"/>
      <c r="S96" s="937"/>
      <c r="T96" s="937"/>
      <c r="U96" s="997">
        <f t="shared" si="29"/>
        <v>0</v>
      </c>
      <c r="V96" s="997">
        <f t="shared" si="30"/>
        <v>0</v>
      </c>
      <c r="W96" s="989">
        <f t="shared" si="31"/>
        <v>0</v>
      </c>
      <c r="X96" s="989">
        <f t="shared" si="36"/>
        <v>850</v>
      </c>
      <c r="Y96" s="996">
        <f t="shared" si="37"/>
        <v>850</v>
      </c>
    </row>
    <row r="97" spans="1:25" ht="25.5" x14ac:dyDescent="0.25">
      <c r="A97" s="1001" t="s">
        <v>1178</v>
      </c>
      <c r="B97" s="991"/>
      <c r="C97" s="991">
        <v>100240</v>
      </c>
      <c r="D97" s="991"/>
      <c r="E97" s="720">
        <f t="shared" si="32"/>
        <v>100240</v>
      </c>
      <c r="F97" s="144">
        <f t="shared" si="33"/>
        <v>100240</v>
      </c>
      <c r="G97" s="998">
        <f t="shared" si="34"/>
        <v>100240</v>
      </c>
      <c r="H97" s="989">
        <f t="shared" si="35"/>
        <v>100240</v>
      </c>
      <c r="I97" s="937"/>
      <c r="J97" s="997">
        <v>18400</v>
      </c>
      <c r="K97" s="997"/>
      <c r="L97" s="997"/>
      <c r="M97" s="997"/>
      <c r="N97" s="937"/>
      <c r="O97" s="937"/>
      <c r="P97" s="937"/>
      <c r="Q97" s="937"/>
      <c r="R97" s="937"/>
      <c r="S97" s="937"/>
      <c r="T97" s="937"/>
      <c r="U97" s="997">
        <f t="shared" si="29"/>
        <v>18400</v>
      </c>
      <c r="V97" s="997">
        <f t="shared" si="30"/>
        <v>0</v>
      </c>
      <c r="W97" s="989">
        <f t="shared" si="31"/>
        <v>18400</v>
      </c>
      <c r="X97" s="989">
        <f t="shared" si="36"/>
        <v>81840</v>
      </c>
      <c r="Y97" s="996">
        <f t="shared" si="37"/>
        <v>81840</v>
      </c>
    </row>
    <row r="98" spans="1:25" x14ac:dyDescent="0.25">
      <c r="A98" s="992" t="s">
        <v>1404</v>
      </c>
      <c r="B98" s="991"/>
      <c r="C98" s="991">
        <v>214050</v>
      </c>
      <c r="D98" s="991"/>
      <c r="E98" s="720">
        <f t="shared" si="32"/>
        <v>214050</v>
      </c>
      <c r="F98" s="144">
        <f t="shared" si="33"/>
        <v>214050</v>
      </c>
      <c r="G98" s="998">
        <f t="shared" si="34"/>
        <v>214050</v>
      </c>
      <c r="H98" s="989">
        <f t="shared" si="35"/>
        <v>214050</v>
      </c>
      <c r="I98" s="937"/>
      <c r="J98" s="997"/>
      <c r="K98" s="997"/>
      <c r="L98" s="997"/>
      <c r="M98" s="997"/>
      <c r="N98" s="937"/>
      <c r="O98" s="937"/>
      <c r="P98" s="937"/>
      <c r="Q98" s="937"/>
      <c r="R98" s="937"/>
      <c r="S98" s="937"/>
      <c r="T98" s="937"/>
      <c r="U98" s="997">
        <f t="shared" si="29"/>
        <v>0</v>
      </c>
      <c r="V98" s="997">
        <f t="shared" si="30"/>
        <v>0</v>
      </c>
      <c r="W98" s="989">
        <f t="shared" si="31"/>
        <v>0</v>
      </c>
      <c r="X98" s="989">
        <f t="shared" si="36"/>
        <v>214050</v>
      </c>
      <c r="Y98" s="996">
        <f t="shared" si="37"/>
        <v>214050</v>
      </c>
    </row>
    <row r="99" spans="1:25" x14ac:dyDescent="0.25">
      <c r="A99" s="992" t="s">
        <v>490</v>
      </c>
      <c r="B99" s="991"/>
      <c r="C99" s="991"/>
      <c r="D99" s="991"/>
      <c r="E99" s="720">
        <f t="shared" si="32"/>
        <v>0</v>
      </c>
      <c r="F99" s="144">
        <f t="shared" si="33"/>
        <v>0</v>
      </c>
      <c r="G99" s="998">
        <f t="shared" si="34"/>
        <v>0</v>
      </c>
      <c r="H99" s="989">
        <f t="shared" si="35"/>
        <v>0</v>
      </c>
      <c r="I99" s="937"/>
      <c r="J99" s="997"/>
      <c r="K99" s="997"/>
      <c r="L99" s="997"/>
      <c r="M99" s="997"/>
      <c r="N99" s="937"/>
      <c r="O99" s="937"/>
      <c r="P99" s="937"/>
      <c r="Q99" s="937"/>
      <c r="R99" s="937"/>
      <c r="S99" s="937"/>
      <c r="T99" s="937"/>
      <c r="U99" s="997">
        <f t="shared" si="29"/>
        <v>0</v>
      </c>
      <c r="V99" s="997">
        <f t="shared" si="30"/>
        <v>0</v>
      </c>
      <c r="W99" s="989">
        <f t="shared" si="31"/>
        <v>0</v>
      </c>
      <c r="X99" s="989">
        <f t="shared" si="36"/>
        <v>0</v>
      </c>
      <c r="Y99" s="996">
        <f t="shared" si="37"/>
        <v>0</v>
      </c>
    </row>
    <row r="100" spans="1:25" x14ac:dyDescent="0.25">
      <c r="A100" s="994" t="s">
        <v>1179</v>
      </c>
      <c r="B100" s="991"/>
      <c r="C100" s="991">
        <v>120000</v>
      </c>
      <c r="D100" s="991"/>
      <c r="E100" s="720">
        <f t="shared" si="32"/>
        <v>120000</v>
      </c>
      <c r="F100" s="144">
        <f t="shared" si="33"/>
        <v>120000</v>
      </c>
      <c r="G100" s="998">
        <f t="shared" si="34"/>
        <v>120000</v>
      </c>
      <c r="H100" s="989">
        <f t="shared" si="35"/>
        <v>120000</v>
      </c>
      <c r="I100" s="937"/>
      <c r="J100" s="997"/>
      <c r="K100" s="997"/>
      <c r="L100" s="997"/>
      <c r="M100" s="997"/>
      <c r="N100" s="937"/>
      <c r="O100" s="937"/>
      <c r="P100" s="937"/>
      <c r="Q100" s="937"/>
      <c r="R100" s="937"/>
      <c r="S100" s="937"/>
      <c r="T100" s="937"/>
      <c r="U100" s="997">
        <f t="shared" si="29"/>
        <v>0</v>
      </c>
      <c r="V100" s="997">
        <f t="shared" si="30"/>
        <v>0</v>
      </c>
      <c r="W100" s="989">
        <f t="shared" si="31"/>
        <v>0</v>
      </c>
      <c r="X100" s="989">
        <f t="shared" si="36"/>
        <v>120000</v>
      </c>
      <c r="Y100" s="996">
        <f t="shared" si="37"/>
        <v>120000</v>
      </c>
    </row>
    <row r="101" spans="1:25" s="995" customFormat="1" x14ac:dyDescent="0.25">
      <c r="A101" s="982" t="s">
        <v>333</v>
      </c>
      <c r="B101" s="999"/>
      <c r="C101" s="1000">
        <f>SUM(C83:C100)</f>
        <v>553267</v>
      </c>
      <c r="D101" s="1000">
        <f>SUM(D83:D100)</f>
        <v>0</v>
      </c>
      <c r="E101" s="1000">
        <f t="shared" ref="E101:Y101" si="38">SUM(E83:E100)</f>
        <v>553267</v>
      </c>
      <c r="F101" s="1000">
        <f t="shared" si="38"/>
        <v>553267</v>
      </c>
      <c r="G101" s="1000">
        <f t="shared" si="38"/>
        <v>553267</v>
      </c>
      <c r="H101" s="1000">
        <f t="shared" si="38"/>
        <v>553267</v>
      </c>
      <c r="I101" s="1000">
        <f t="shared" si="38"/>
        <v>0</v>
      </c>
      <c r="J101" s="1000">
        <f t="shared" si="38"/>
        <v>96100</v>
      </c>
      <c r="K101" s="1000">
        <f t="shared" si="38"/>
        <v>0</v>
      </c>
      <c r="L101" s="1000">
        <f t="shared" si="38"/>
        <v>0</v>
      </c>
      <c r="M101" s="1000">
        <f t="shared" si="38"/>
        <v>0</v>
      </c>
      <c r="N101" s="1000">
        <f t="shared" si="38"/>
        <v>0</v>
      </c>
      <c r="O101" s="1000">
        <f t="shared" si="38"/>
        <v>0</v>
      </c>
      <c r="P101" s="1000">
        <f>SUM(P84:P100)</f>
        <v>0</v>
      </c>
      <c r="Q101" s="1000">
        <f t="shared" si="38"/>
        <v>0</v>
      </c>
      <c r="R101" s="1000">
        <f t="shared" si="38"/>
        <v>0</v>
      </c>
      <c r="S101" s="1000">
        <f t="shared" si="38"/>
        <v>0</v>
      </c>
      <c r="T101" s="1000">
        <f t="shared" si="38"/>
        <v>0</v>
      </c>
      <c r="U101" s="1000">
        <f t="shared" si="38"/>
        <v>96100</v>
      </c>
      <c r="V101" s="1000">
        <f t="shared" si="38"/>
        <v>0</v>
      </c>
      <c r="W101" s="1000">
        <f t="shared" si="38"/>
        <v>96100</v>
      </c>
      <c r="X101" s="1000">
        <f t="shared" si="38"/>
        <v>457167</v>
      </c>
      <c r="Y101" s="1000">
        <f t="shared" si="38"/>
        <v>457167</v>
      </c>
    </row>
    <row r="102" spans="1:25" x14ac:dyDescent="0.25">
      <c r="A102" s="142" t="s">
        <v>213</v>
      </c>
      <c r="B102" s="152"/>
      <c r="C102" s="351">
        <f>C80+C101</f>
        <v>4267759.5</v>
      </c>
      <c r="D102" s="351">
        <f>D80+D101</f>
        <v>0</v>
      </c>
      <c r="E102" s="351">
        <f t="shared" ref="E102:Y102" si="39">E80+E101</f>
        <v>4267759.5</v>
      </c>
      <c r="F102" s="351">
        <f t="shared" si="39"/>
        <v>4267759.5</v>
      </c>
      <c r="G102" s="351">
        <f t="shared" si="39"/>
        <v>4267759.5</v>
      </c>
      <c r="H102" s="351">
        <f t="shared" si="39"/>
        <v>4267759.5</v>
      </c>
      <c r="I102" s="351">
        <f t="shared" si="39"/>
        <v>0</v>
      </c>
      <c r="J102" s="351">
        <f t="shared" si="39"/>
        <v>96100</v>
      </c>
      <c r="K102" s="351">
        <f t="shared" si="39"/>
        <v>0</v>
      </c>
      <c r="L102" s="351">
        <f t="shared" si="39"/>
        <v>0</v>
      </c>
      <c r="M102" s="351">
        <f t="shared" si="39"/>
        <v>0</v>
      </c>
      <c r="N102" s="351">
        <f t="shared" si="39"/>
        <v>0</v>
      </c>
      <c r="O102" s="351">
        <f t="shared" si="39"/>
        <v>3400000</v>
      </c>
      <c r="P102" s="351">
        <f t="shared" si="39"/>
        <v>23400</v>
      </c>
      <c r="Q102" s="351">
        <f t="shared" si="39"/>
        <v>0</v>
      </c>
      <c r="R102" s="351">
        <f t="shared" si="39"/>
        <v>0</v>
      </c>
      <c r="S102" s="351">
        <f t="shared" si="39"/>
        <v>0</v>
      </c>
      <c r="T102" s="351">
        <f t="shared" si="39"/>
        <v>0</v>
      </c>
      <c r="U102" s="351">
        <f t="shared" si="39"/>
        <v>3519500</v>
      </c>
      <c r="V102" s="351">
        <f t="shared" si="39"/>
        <v>0</v>
      </c>
      <c r="W102" s="351">
        <f t="shared" si="39"/>
        <v>3519500</v>
      </c>
      <c r="X102" s="351">
        <f t="shared" si="39"/>
        <v>748259.5</v>
      </c>
      <c r="Y102" s="351">
        <f t="shared" si="39"/>
        <v>748259.5</v>
      </c>
    </row>
    <row r="103" spans="1:25" ht="15.75" thickBot="1" x14ac:dyDescent="0.3">
      <c r="A103" s="153" t="s">
        <v>160</v>
      </c>
      <c r="B103" s="154"/>
      <c r="C103" s="154">
        <f t="shared" ref="C103:Y103" si="40">C102+C67+C65</f>
        <v>10082542</v>
      </c>
      <c r="D103" s="154">
        <f t="shared" si="40"/>
        <v>48119.100000000006</v>
      </c>
      <c r="E103" s="154">
        <f t="shared" si="40"/>
        <v>10130661.100000001</v>
      </c>
      <c r="F103" s="154">
        <f t="shared" si="40"/>
        <v>8186065.9950000001</v>
      </c>
      <c r="G103" s="154">
        <f t="shared" si="40"/>
        <v>4756334.6333333338</v>
      </c>
      <c r="H103" s="154">
        <f t="shared" si="40"/>
        <v>8674641.1283333339</v>
      </c>
      <c r="I103" s="154">
        <f t="shared" si="40"/>
        <v>7188</v>
      </c>
      <c r="J103" s="1005">
        <f t="shared" si="40"/>
        <v>133218.70000000001</v>
      </c>
      <c r="K103" s="1005">
        <f t="shared" si="40"/>
        <v>807227.06</v>
      </c>
      <c r="L103" s="1005">
        <f t="shared" si="40"/>
        <v>449191.92</v>
      </c>
      <c r="M103" s="1005">
        <f t="shared" si="40"/>
        <v>38175.01</v>
      </c>
      <c r="N103" s="154">
        <f t="shared" si="40"/>
        <v>1490</v>
      </c>
      <c r="O103" s="154">
        <f t="shared" si="40"/>
        <v>3610747.09</v>
      </c>
      <c r="P103" s="154">
        <f t="shared" si="40"/>
        <v>217383.18</v>
      </c>
      <c r="Q103" s="154">
        <f t="shared" si="40"/>
        <v>96778.85</v>
      </c>
      <c r="R103" s="154">
        <f t="shared" si="40"/>
        <v>185580</v>
      </c>
      <c r="S103" s="154">
        <f t="shared" si="40"/>
        <v>0</v>
      </c>
      <c r="T103" s="154">
        <f t="shared" si="40"/>
        <v>118380</v>
      </c>
      <c r="U103" s="1005">
        <f t="shared" si="40"/>
        <v>5361399.8099999996</v>
      </c>
      <c r="V103" s="154">
        <f t="shared" si="40"/>
        <v>185580</v>
      </c>
      <c r="W103" s="154">
        <f t="shared" si="40"/>
        <v>5546979.8099999996</v>
      </c>
      <c r="X103" s="154">
        <f t="shared" si="40"/>
        <v>3127661.3183333338</v>
      </c>
      <c r="Y103" s="154">
        <f t="shared" si="40"/>
        <v>4583681.29</v>
      </c>
    </row>
    <row r="104" spans="1:25" ht="15.75" thickTop="1" x14ac:dyDescent="0.25">
      <c r="H104" s="352"/>
    </row>
    <row r="105" spans="1:25" x14ac:dyDescent="0.25">
      <c r="A105" s="987" t="s">
        <v>354</v>
      </c>
      <c r="B105" s="30"/>
      <c r="C105" s="35"/>
      <c r="D105" s="35"/>
      <c r="E105" s="35"/>
      <c r="F105" s="35"/>
      <c r="G105" s="35"/>
      <c r="X105" s="743" t="s">
        <v>357</v>
      </c>
    </row>
    <row r="107" spans="1:25" x14ac:dyDescent="0.25">
      <c r="B107" s="988"/>
      <c r="C107" s="36"/>
      <c r="D107" s="36"/>
      <c r="E107" s="36"/>
      <c r="F107" s="36"/>
      <c r="G107" s="36"/>
    </row>
    <row r="108" spans="1:25" x14ac:dyDescent="0.25">
      <c r="A108" s="742" t="s">
        <v>355</v>
      </c>
      <c r="B108" s="710"/>
      <c r="C108" s="31"/>
      <c r="D108" s="31"/>
      <c r="E108" s="31"/>
      <c r="F108" s="31"/>
      <c r="G108" s="31"/>
      <c r="X108" s="744" t="s">
        <v>358</v>
      </c>
    </row>
    <row r="109" spans="1:25" x14ac:dyDescent="0.25">
      <c r="A109" s="743" t="s">
        <v>356</v>
      </c>
      <c r="X109" s="743" t="s">
        <v>359</v>
      </c>
    </row>
    <row r="110" spans="1:25" x14ac:dyDescent="0.25">
      <c r="H110" s="352"/>
    </row>
    <row r="111" spans="1:25" x14ac:dyDescent="0.25">
      <c r="H111" s="352"/>
    </row>
    <row r="112" spans="1:25" x14ac:dyDescent="0.25">
      <c r="H112" s="352"/>
    </row>
    <row r="113" spans="8:8" x14ac:dyDescent="0.25">
      <c r="H113" s="352"/>
    </row>
    <row r="114" spans="8:8" x14ac:dyDescent="0.25">
      <c r="H114" s="352"/>
    </row>
    <row r="115" spans="8:8" x14ac:dyDescent="0.25">
      <c r="H115" s="352"/>
    </row>
    <row r="116" spans="8:8" x14ac:dyDescent="0.25">
      <c r="H116" s="352"/>
    </row>
    <row r="117" spans="8:8" x14ac:dyDescent="0.25">
      <c r="H117" s="352"/>
    </row>
    <row r="118" spans="8:8" x14ac:dyDescent="0.25">
      <c r="H118" s="352"/>
    </row>
    <row r="119" spans="8:8" x14ac:dyDescent="0.25">
      <c r="H119" s="352"/>
    </row>
  </sheetData>
  <mergeCells count="3">
    <mergeCell ref="A1:Y1"/>
    <mergeCell ref="A2:Y2"/>
    <mergeCell ref="A3:Y3"/>
  </mergeCells>
  <printOptions horizontalCentered="1" verticalCentered="1" headings="1"/>
  <pageMargins left="0.81496062999999996" right="0.143700787" top="1.1043307090000001" bottom="0.15748031496063" header="0.36811023599999998" footer="0.36811023599999998"/>
  <pageSetup paperSize="5" scale="79" orientation="landscape" r:id="rId1"/>
  <rowBreaks count="2" manualBreakCount="2">
    <brk id="35" max="16383" man="1"/>
    <brk id="7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"/>
  <sheetViews>
    <sheetView view="pageBreakPreview" topLeftCell="A83" zoomScale="89" zoomScaleNormal="100" zoomScaleSheetLayoutView="89" workbookViewId="0">
      <pane xSplit="1" topLeftCell="B1" activePane="topRight" state="frozen"/>
      <selection pane="topRight" activeCell="A104" sqref="A104"/>
    </sheetView>
  </sheetViews>
  <sheetFormatPr defaultRowHeight="15" outlineLevelCol="1" x14ac:dyDescent="0.25"/>
  <cols>
    <col min="1" max="1" width="47.140625" style="21" customWidth="1"/>
    <col min="2" max="3" width="12.7109375" style="21" customWidth="1"/>
    <col min="4" max="4" width="12.7109375" style="987" customWidth="1"/>
    <col min="5" max="8" width="12.7109375" style="21" customWidth="1"/>
    <col min="9" max="9" width="15.5703125" style="21" hidden="1" customWidth="1" outlineLevel="1"/>
    <col min="10" max="13" width="12.7109375" style="303" hidden="1" customWidth="1" outlineLevel="1"/>
    <col min="14" max="14" width="12.7109375" style="21" hidden="1" customWidth="1" outlineLevel="1"/>
    <col min="15" max="15" width="14.7109375" style="21" hidden="1" customWidth="1" outlineLevel="1"/>
    <col min="16" max="19" width="12.7109375" style="21" hidden="1" customWidth="1" outlineLevel="1"/>
    <col min="20" max="20" width="11" style="21" hidden="1" customWidth="1" outlineLevel="1"/>
    <col min="21" max="21" width="16" style="303" customWidth="1" collapsed="1"/>
    <col min="22" max="22" width="14.5703125" style="21" customWidth="1"/>
    <col min="23" max="24" width="12.7109375" style="21" customWidth="1"/>
    <col min="25" max="25" width="14" style="1090" customWidth="1"/>
    <col min="26" max="16384" width="9.140625" style="21"/>
  </cols>
  <sheetData>
    <row r="1" spans="1:26" x14ac:dyDescent="0.25">
      <c r="A1" s="1432" t="s">
        <v>352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1432"/>
      <c r="M1" s="1432"/>
      <c r="N1" s="1432"/>
      <c r="O1" s="1432"/>
      <c r="P1" s="1432"/>
      <c r="Q1" s="1432"/>
      <c r="R1" s="1432"/>
      <c r="S1" s="1432"/>
      <c r="T1" s="1432"/>
      <c r="U1" s="1432"/>
      <c r="V1" s="1432"/>
      <c r="W1" s="1432"/>
      <c r="X1" s="1432"/>
      <c r="Y1" s="1432"/>
    </row>
    <row r="2" spans="1:26" x14ac:dyDescent="0.25">
      <c r="A2" s="1432" t="s">
        <v>353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1432"/>
      <c r="Y2" s="1432"/>
    </row>
    <row r="3" spans="1:26" x14ac:dyDescent="0.25">
      <c r="A3" s="1434" t="str">
        <f>'1016-SBO'!A3:AH3</f>
        <v>For the Period October 1-31, 2021</v>
      </c>
      <c r="B3" s="1435"/>
      <c r="C3" s="1435"/>
      <c r="D3" s="1435"/>
      <c r="E3" s="1435"/>
      <c r="F3" s="1435"/>
      <c r="G3" s="1435"/>
      <c r="H3" s="1435"/>
      <c r="I3" s="1435"/>
      <c r="J3" s="1435"/>
      <c r="K3" s="1435"/>
      <c r="L3" s="1435"/>
      <c r="M3" s="1435"/>
      <c r="N3" s="1435"/>
      <c r="O3" s="1435"/>
      <c r="P3" s="1435"/>
      <c r="Q3" s="1435"/>
      <c r="R3" s="1435"/>
      <c r="S3" s="1435"/>
      <c r="T3" s="1435"/>
      <c r="U3" s="1435"/>
      <c r="V3" s="1435"/>
      <c r="W3" s="1435"/>
      <c r="X3" s="1435"/>
      <c r="Y3" s="1435"/>
    </row>
    <row r="4" spans="1:26" x14ac:dyDescent="0.25">
      <c r="A4" s="71" t="s">
        <v>347</v>
      </c>
      <c r="B4" s="980" t="s">
        <v>2</v>
      </c>
      <c r="C4" s="38" t="s">
        <v>133</v>
      </c>
      <c r="D4" s="71" t="s">
        <v>1373</v>
      </c>
      <c r="E4" s="38" t="s">
        <v>1</v>
      </c>
      <c r="F4" s="38" t="s">
        <v>316</v>
      </c>
      <c r="G4" s="38" t="s">
        <v>314</v>
      </c>
      <c r="H4" s="41" t="s">
        <v>346</v>
      </c>
      <c r="I4" s="39"/>
      <c r="J4" s="39"/>
      <c r="K4" s="39"/>
      <c r="L4" s="39"/>
      <c r="M4" s="990"/>
      <c r="N4" s="109"/>
      <c r="O4" s="109"/>
      <c r="P4" s="109"/>
      <c r="Q4" s="109"/>
      <c r="R4" s="109"/>
      <c r="S4" s="109"/>
      <c r="T4" s="109"/>
      <c r="U4" s="41" t="s">
        <v>316</v>
      </c>
      <c r="V4" s="41" t="s">
        <v>348</v>
      </c>
      <c r="W4" s="41" t="s">
        <v>1</v>
      </c>
      <c r="X4" s="41" t="s">
        <v>131</v>
      </c>
      <c r="Y4" s="318" t="s">
        <v>131</v>
      </c>
      <c r="Z4" s="264"/>
    </row>
    <row r="5" spans="1:26" x14ac:dyDescent="0.25">
      <c r="A5" s="721"/>
      <c r="B5" s="980" t="s">
        <v>3</v>
      </c>
      <c r="C5" s="38" t="s">
        <v>134</v>
      </c>
      <c r="D5" s="1104">
        <v>44459</v>
      </c>
      <c r="E5" s="38" t="s">
        <v>314</v>
      </c>
      <c r="F5" s="38" t="s">
        <v>314</v>
      </c>
      <c r="G5" s="38" t="s">
        <v>315</v>
      </c>
      <c r="H5" s="41" t="s">
        <v>315</v>
      </c>
      <c r="I5" s="41" t="s">
        <v>0</v>
      </c>
      <c r="J5" s="41" t="s">
        <v>120</v>
      </c>
      <c r="K5" s="41" t="s">
        <v>121</v>
      </c>
      <c r="L5" s="41" t="s">
        <v>122</v>
      </c>
      <c r="M5" s="41" t="s">
        <v>123</v>
      </c>
      <c r="N5" s="41" t="s">
        <v>124</v>
      </c>
      <c r="O5" s="41" t="s">
        <v>125</v>
      </c>
      <c r="P5" s="41" t="s">
        <v>126</v>
      </c>
      <c r="Q5" s="41" t="s">
        <v>127</v>
      </c>
      <c r="R5" s="41" t="s">
        <v>128</v>
      </c>
      <c r="S5" s="41" t="s">
        <v>129</v>
      </c>
      <c r="T5" s="41" t="s">
        <v>130</v>
      </c>
      <c r="U5" s="41" t="s">
        <v>317</v>
      </c>
      <c r="V5" s="41" t="s">
        <v>315</v>
      </c>
      <c r="W5" s="41" t="s">
        <v>317</v>
      </c>
      <c r="X5" s="70" t="s">
        <v>314</v>
      </c>
      <c r="Y5" s="757" t="s">
        <v>132</v>
      </c>
    </row>
    <row r="6" spans="1:26" x14ac:dyDescent="0.25">
      <c r="A6" s="319" t="s">
        <v>363</v>
      </c>
      <c r="B6" s="188"/>
      <c r="C6" s="188"/>
      <c r="D6" s="937"/>
      <c r="E6" s="188"/>
      <c r="F6" s="188"/>
      <c r="G6" s="188"/>
      <c r="H6" s="188"/>
      <c r="I6" s="188"/>
      <c r="J6" s="997"/>
      <c r="K6" s="997"/>
      <c r="L6" s="997"/>
      <c r="M6" s="997"/>
      <c r="N6" s="188"/>
      <c r="O6" s="188"/>
      <c r="P6" s="188"/>
      <c r="Q6" s="188"/>
      <c r="R6" s="188"/>
      <c r="S6" s="188"/>
      <c r="T6" s="188"/>
      <c r="U6" s="997"/>
      <c r="V6" s="188"/>
      <c r="W6" s="188"/>
      <c r="X6" s="188"/>
      <c r="Y6" s="1229"/>
    </row>
    <row r="7" spans="1:26" x14ac:dyDescent="0.25">
      <c r="A7" s="136" t="s">
        <v>191</v>
      </c>
      <c r="B7" s="137"/>
      <c r="C7" s="188"/>
      <c r="D7" s="937"/>
      <c r="E7" s="188"/>
      <c r="F7" s="188"/>
      <c r="G7" s="188"/>
      <c r="H7" s="188"/>
      <c r="I7" s="188"/>
      <c r="J7" s="997"/>
      <c r="K7" s="997"/>
      <c r="L7" s="997"/>
      <c r="M7" s="997"/>
      <c r="N7" s="188"/>
      <c r="O7" s="188"/>
      <c r="P7" s="188"/>
      <c r="Q7" s="188"/>
      <c r="R7" s="188"/>
      <c r="S7" s="188"/>
      <c r="T7" s="188"/>
      <c r="U7" s="997"/>
      <c r="V7" s="265"/>
      <c r="W7" s="109"/>
      <c r="X7" s="40"/>
      <c r="Y7" s="1229"/>
    </row>
    <row r="8" spans="1:26" x14ac:dyDescent="0.25">
      <c r="A8" s="126" t="s">
        <v>192</v>
      </c>
      <c r="B8" s="134" t="s">
        <v>43</v>
      </c>
      <c r="C8" s="52"/>
      <c r="D8" s="720"/>
      <c r="E8" s="52"/>
      <c r="F8" s="52"/>
      <c r="G8" s="52">
        <f>E8/12</f>
        <v>0</v>
      </c>
      <c r="H8" s="40">
        <f>F8+G8</f>
        <v>0</v>
      </c>
      <c r="I8" s="188"/>
      <c r="J8" s="997"/>
      <c r="K8" s="997"/>
      <c r="L8" s="997"/>
      <c r="M8" s="997"/>
      <c r="N8" s="188"/>
      <c r="O8" s="188"/>
      <c r="P8" s="188"/>
      <c r="Q8" s="188"/>
      <c r="R8" s="188"/>
      <c r="S8" s="188"/>
      <c r="T8" s="188"/>
      <c r="U8" s="997"/>
      <c r="V8" s="265"/>
      <c r="W8" s="989">
        <f t="shared" ref="W8" si="0">U8+V8</f>
        <v>0</v>
      </c>
      <c r="X8" s="40">
        <f>H8-W8</f>
        <v>0</v>
      </c>
      <c r="Y8" s="1230">
        <f>E8-W8</f>
        <v>0</v>
      </c>
    </row>
    <row r="9" spans="1:26" x14ac:dyDescent="0.25">
      <c r="A9" s="138" t="s">
        <v>193</v>
      </c>
      <c r="B9" s="134"/>
      <c r="C9" s="52">
        <f>100000</f>
        <v>100000</v>
      </c>
      <c r="D9" s="720"/>
      <c r="E9" s="52">
        <f>SUM(C9:D9)</f>
        <v>100000</v>
      </c>
      <c r="F9" s="52">
        <f>E9/12*9</f>
        <v>75000</v>
      </c>
      <c r="G9" s="52">
        <f>E9/12</f>
        <v>8333.3333333333339</v>
      </c>
      <c r="H9" s="40">
        <f>F9+G9</f>
        <v>83333.333333333328</v>
      </c>
      <c r="I9" s="188"/>
      <c r="J9" s="997"/>
      <c r="K9" s="997">
        <v>2480</v>
      </c>
      <c r="L9" s="997">
        <v>2360</v>
      </c>
      <c r="M9" s="997"/>
      <c r="N9" s="188"/>
      <c r="O9" s="188">
        <v>1240</v>
      </c>
      <c r="P9" s="188">
        <v>26160</v>
      </c>
      <c r="Q9" s="188"/>
      <c r="R9" s="188"/>
      <c r="S9" s="188"/>
      <c r="T9" s="188"/>
      <c r="U9" s="997">
        <f>I9+J9+K9+L9+M9+N9+O9+P9+Q9</f>
        <v>32240</v>
      </c>
      <c r="V9" s="265">
        <f>R9</f>
        <v>0</v>
      </c>
      <c r="W9" s="989">
        <f>U9+V9</f>
        <v>32240</v>
      </c>
      <c r="X9" s="40">
        <f t="shared" ref="X9:X33" si="1">H9-W9</f>
        <v>51093.333333333328</v>
      </c>
      <c r="Y9" s="1230">
        <f>E9-W9</f>
        <v>67760</v>
      </c>
    </row>
    <row r="10" spans="1:26" x14ac:dyDescent="0.25">
      <c r="A10" s="142" t="s">
        <v>194</v>
      </c>
      <c r="B10" s="134" t="s">
        <v>140</v>
      </c>
      <c r="C10" s="52"/>
      <c r="D10" s="720"/>
      <c r="E10" s="720">
        <f t="shared" ref="E10:E64" si="2">SUM(C10:D10)</f>
        <v>0</v>
      </c>
      <c r="F10" s="720">
        <f t="shared" ref="F10:F64" si="3">E10/12*9</f>
        <v>0</v>
      </c>
      <c r="G10" s="52"/>
      <c r="H10" s="40"/>
      <c r="I10" s="188"/>
      <c r="J10" s="997"/>
      <c r="K10" s="997"/>
      <c r="L10" s="997"/>
      <c r="M10" s="997"/>
      <c r="N10" s="188"/>
      <c r="O10" s="188"/>
      <c r="P10" s="188"/>
      <c r="Q10" s="188"/>
      <c r="R10" s="188"/>
      <c r="S10" s="188"/>
      <c r="T10" s="188"/>
      <c r="U10" s="997">
        <f t="shared" ref="U10:U64" si="4">I10+J10+K10+L10+M10+N10+O10+P10+Q10</f>
        <v>0</v>
      </c>
      <c r="V10" s="997">
        <f t="shared" ref="V10:V64" si="5">R10</f>
        <v>0</v>
      </c>
      <c r="W10" s="989">
        <f t="shared" ref="W10:W64" si="6">U10+V10</f>
        <v>0</v>
      </c>
      <c r="X10" s="40"/>
      <c r="Y10" s="1230"/>
    </row>
    <row r="11" spans="1:26" x14ac:dyDescent="0.25">
      <c r="A11" s="349" t="s">
        <v>458</v>
      </c>
      <c r="B11" s="134"/>
      <c r="C11" s="52">
        <f>150000</f>
        <v>150000</v>
      </c>
      <c r="D11" s="720"/>
      <c r="E11" s="720">
        <f t="shared" si="2"/>
        <v>150000</v>
      </c>
      <c r="F11" s="720">
        <f t="shared" si="3"/>
        <v>112500</v>
      </c>
      <c r="G11" s="52">
        <f t="shared" ref="G11:G58" si="7">E11/12</f>
        <v>12500</v>
      </c>
      <c r="H11" s="40">
        <f t="shared" ref="H11:H29" si="8">F11+G11</f>
        <v>125000</v>
      </c>
      <c r="I11" s="188"/>
      <c r="J11" s="997"/>
      <c r="K11" s="997"/>
      <c r="L11" s="997"/>
      <c r="M11" s="997"/>
      <c r="N11" s="188"/>
      <c r="O11" s="188"/>
      <c r="P11" s="188"/>
      <c r="Q11" s="188"/>
      <c r="R11" s="188"/>
      <c r="S11" s="188"/>
      <c r="T11" s="188"/>
      <c r="U11" s="997">
        <f t="shared" si="4"/>
        <v>0</v>
      </c>
      <c r="V11" s="997">
        <f t="shared" si="5"/>
        <v>0</v>
      </c>
      <c r="W11" s="989">
        <f t="shared" si="6"/>
        <v>0</v>
      </c>
      <c r="X11" s="40">
        <f t="shared" si="1"/>
        <v>125000</v>
      </c>
      <c r="Y11" s="1230">
        <f t="shared" ref="Y11:Y42" si="9">E11-W11</f>
        <v>150000</v>
      </c>
    </row>
    <row r="12" spans="1:26" x14ac:dyDescent="0.25">
      <c r="A12" s="349" t="s">
        <v>195</v>
      </c>
      <c r="B12" s="134"/>
      <c r="C12" s="52"/>
      <c r="D12" s="720"/>
      <c r="E12" s="720">
        <f t="shared" si="2"/>
        <v>0</v>
      </c>
      <c r="F12" s="720">
        <f t="shared" si="3"/>
        <v>0</v>
      </c>
      <c r="G12" s="52">
        <f t="shared" si="7"/>
        <v>0</v>
      </c>
      <c r="H12" s="40">
        <f t="shared" si="8"/>
        <v>0</v>
      </c>
      <c r="I12" s="188"/>
      <c r="J12" s="997"/>
      <c r="K12" s="997"/>
      <c r="L12" s="997"/>
      <c r="M12" s="997"/>
      <c r="N12" s="188"/>
      <c r="O12" s="188"/>
      <c r="P12" s="188"/>
      <c r="Q12" s="188"/>
      <c r="R12" s="188"/>
      <c r="S12" s="188"/>
      <c r="T12" s="188"/>
      <c r="U12" s="997">
        <f t="shared" si="4"/>
        <v>0</v>
      </c>
      <c r="V12" s="997">
        <f t="shared" si="5"/>
        <v>0</v>
      </c>
      <c r="W12" s="989">
        <f t="shared" si="6"/>
        <v>0</v>
      </c>
      <c r="X12" s="40">
        <f t="shared" si="1"/>
        <v>0</v>
      </c>
      <c r="Y12" s="1230">
        <f t="shared" si="9"/>
        <v>0</v>
      </c>
    </row>
    <row r="13" spans="1:26" x14ac:dyDescent="0.25">
      <c r="A13" s="349" t="s">
        <v>196</v>
      </c>
      <c r="B13" s="134"/>
      <c r="C13" s="52">
        <v>110000</v>
      </c>
      <c r="D13" s="720"/>
      <c r="E13" s="720">
        <f t="shared" si="2"/>
        <v>110000</v>
      </c>
      <c r="F13" s="720">
        <f t="shared" si="3"/>
        <v>82500</v>
      </c>
      <c r="G13" s="52">
        <f t="shared" si="7"/>
        <v>9166.6666666666661</v>
      </c>
      <c r="H13" s="40">
        <f t="shared" si="8"/>
        <v>91666.666666666672</v>
      </c>
      <c r="I13" s="188"/>
      <c r="J13" s="997"/>
      <c r="K13" s="997"/>
      <c r="L13" s="997"/>
      <c r="M13" s="997"/>
      <c r="N13" s="188"/>
      <c r="O13" s="188"/>
      <c r="P13" s="188"/>
      <c r="Q13" s="188"/>
      <c r="R13" s="188"/>
      <c r="S13" s="188"/>
      <c r="T13" s="188"/>
      <c r="U13" s="997">
        <f t="shared" si="4"/>
        <v>0</v>
      </c>
      <c r="V13" s="997">
        <f t="shared" si="5"/>
        <v>0</v>
      </c>
      <c r="W13" s="989">
        <f t="shared" si="6"/>
        <v>0</v>
      </c>
      <c r="X13" s="40">
        <f t="shared" si="1"/>
        <v>91666.666666666672</v>
      </c>
      <c r="Y13" s="1230">
        <f t="shared" si="9"/>
        <v>110000</v>
      </c>
    </row>
    <row r="14" spans="1:26" x14ac:dyDescent="0.25">
      <c r="A14" s="139" t="s">
        <v>459</v>
      </c>
      <c r="B14" s="134"/>
      <c r="C14" s="52"/>
      <c r="D14" s="720"/>
      <c r="E14" s="720">
        <f t="shared" si="2"/>
        <v>0</v>
      </c>
      <c r="F14" s="720">
        <f t="shared" si="3"/>
        <v>0</v>
      </c>
      <c r="G14" s="52">
        <f t="shared" si="7"/>
        <v>0</v>
      </c>
      <c r="H14" s="40">
        <f t="shared" si="8"/>
        <v>0</v>
      </c>
      <c r="I14" s="188"/>
      <c r="J14" s="997"/>
      <c r="K14" s="997"/>
      <c r="L14" s="997"/>
      <c r="M14" s="997"/>
      <c r="N14" s="188"/>
      <c r="O14" s="188"/>
      <c r="P14" s="188"/>
      <c r="Q14" s="188"/>
      <c r="R14" s="188"/>
      <c r="S14" s="188"/>
      <c r="T14" s="188"/>
      <c r="U14" s="997">
        <f t="shared" si="4"/>
        <v>0</v>
      </c>
      <c r="V14" s="997">
        <f t="shared" si="5"/>
        <v>0</v>
      </c>
      <c r="W14" s="989">
        <f t="shared" si="6"/>
        <v>0</v>
      </c>
      <c r="X14" s="40">
        <f t="shared" si="1"/>
        <v>0</v>
      </c>
      <c r="Y14" s="1230">
        <f t="shared" si="9"/>
        <v>0</v>
      </c>
    </row>
    <row r="15" spans="1:26" x14ac:dyDescent="0.25">
      <c r="A15" s="353" t="s">
        <v>460</v>
      </c>
      <c r="B15" s="134"/>
      <c r="C15" s="52">
        <v>50000</v>
      </c>
      <c r="D15" s="720"/>
      <c r="E15" s="720">
        <f t="shared" si="2"/>
        <v>50000</v>
      </c>
      <c r="F15" s="720">
        <f t="shared" si="3"/>
        <v>37500</v>
      </c>
      <c r="G15" s="52">
        <f t="shared" si="7"/>
        <v>4166.666666666667</v>
      </c>
      <c r="H15" s="40">
        <f t="shared" si="8"/>
        <v>41666.666666666664</v>
      </c>
      <c r="I15" s="188"/>
      <c r="J15" s="997"/>
      <c r="K15" s="997"/>
      <c r="L15" s="997"/>
      <c r="M15" s="997"/>
      <c r="N15" s="188"/>
      <c r="O15" s="188"/>
      <c r="P15" s="188">
        <v>50000</v>
      </c>
      <c r="Q15" s="188"/>
      <c r="R15" s="188"/>
      <c r="S15" s="188"/>
      <c r="T15" s="188"/>
      <c r="U15" s="997">
        <f t="shared" si="4"/>
        <v>50000</v>
      </c>
      <c r="V15" s="997">
        <f t="shared" si="5"/>
        <v>0</v>
      </c>
      <c r="W15" s="989">
        <f t="shared" si="6"/>
        <v>50000</v>
      </c>
      <c r="X15" s="40">
        <f t="shared" si="1"/>
        <v>-8333.3333333333358</v>
      </c>
      <c r="Y15" s="1230">
        <f t="shared" si="9"/>
        <v>0</v>
      </c>
    </row>
    <row r="16" spans="1:26" x14ac:dyDescent="0.25">
      <c r="A16" s="353" t="s">
        <v>461</v>
      </c>
      <c r="B16" s="134"/>
      <c r="C16" s="52">
        <v>50000</v>
      </c>
      <c r="D16" s="720"/>
      <c r="E16" s="720">
        <f t="shared" si="2"/>
        <v>50000</v>
      </c>
      <c r="F16" s="720">
        <f t="shared" si="3"/>
        <v>37500</v>
      </c>
      <c r="G16" s="52">
        <f t="shared" si="7"/>
        <v>4166.666666666667</v>
      </c>
      <c r="H16" s="40">
        <f t="shared" si="8"/>
        <v>41666.666666666664</v>
      </c>
      <c r="I16" s="188"/>
      <c r="J16" s="997"/>
      <c r="K16" s="997">
        <v>22366</v>
      </c>
      <c r="L16" s="997"/>
      <c r="M16" s="997"/>
      <c r="N16" s="188"/>
      <c r="O16" s="188"/>
      <c r="P16" s="188"/>
      <c r="Q16" s="188"/>
      <c r="R16" s="188">
        <v>27634</v>
      </c>
      <c r="S16" s="188"/>
      <c r="T16" s="188"/>
      <c r="U16" s="997">
        <f t="shared" si="4"/>
        <v>22366</v>
      </c>
      <c r="V16" s="997">
        <f t="shared" si="5"/>
        <v>27634</v>
      </c>
      <c r="W16" s="989">
        <f t="shared" si="6"/>
        <v>50000</v>
      </c>
      <c r="X16" s="40">
        <f t="shared" si="1"/>
        <v>-8333.3333333333358</v>
      </c>
      <c r="Y16" s="1230">
        <f t="shared" si="9"/>
        <v>0</v>
      </c>
    </row>
    <row r="17" spans="1:25" x14ac:dyDescent="0.25">
      <c r="A17" s="353" t="s">
        <v>462</v>
      </c>
      <c r="B17" s="134"/>
      <c r="C17" s="52">
        <v>50000</v>
      </c>
      <c r="D17" s="720"/>
      <c r="E17" s="720">
        <f t="shared" si="2"/>
        <v>50000</v>
      </c>
      <c r="F17" s="720">
        <f t="shared" si="3"/>
        <v>37500</v>
      </c>
      <c r="G17" s="52">
        <f t="shared" si="7"/>
        <v>4166.666666666667</v>
      </c>
      <c r="H17" s="40">
        <f t="shared" si="8"/>
        <v>41666.666666666664</v>
      </c>
      <c r="I17" s="188"/>
      <c r="J17" s="997"/>
      <c r="K17" s="997">
        <f>40034+9966</f>
        <v>50000</v>
      </c>
      <c r="L17" s="997"/>
      <c r="M17" s="997"/>
      <c r="N17" s="188"/>
      <c r="O17" s="188"/>
      <c r="P17" s="188"/>
      <c r="Q17" s="188"/>
      <c r="R17" s="188"/>
      <c r="S17" s="188"/>
      <c r="T17" s="188"/>
      <c r="U17" s="997">
        <f t="shared" si="4"/>
        <v>50000</v>
      </c>
      <c r="V17" s="997">
        <f t="shared" si="5"/>
        <v>0</v>
      </c>
      <c r="W17" s="989">
        <f t="shared" si="6"/>
        <v>50000</v>
      </c>
      <c r="X17" s="40">
        <f t="shared" si="1"/>
        <v>-8333.3333333333358</v>
      </c>
      <c r="Y17" s="1230">
        <f t="shared" si="9"/>
        <v>0</v>
      </c>
    </row>
    <row r="18" spans="1:25" x14ac:dyDescent="0.25">
      <c r="A18" s="353" t="s">
        <v>463</v>
      </c>
      <c r="B18" s="134"/>
      <c r="C18" s="52">
        <v>50000</v>
      </c>
      <c r="D18" s="720">
        <v>33683.370000000003</v>
      </c>
      <c r="E18" s="720">
        <f>SUM(C18:D18)</f>
        <v>83683.37</v>
      </c>
      <c r="F18" s="720">
        <f t="shared" si="3"/>
        <v>62762.527499999997</v>
      </c>
      <c r="G18" s="52">
        <f t="shared" si="7"/>
        <v>6973.6141666666663</v>
      </c>
      <c r="H18" s="40">
        <f t="shared" si="8"/>
        <v>69736.141666666663</v>
      </c>
      <c r="I18" s="188"/>
      <c r="J18" s="997"/>
      <c r="K18" s="997"/>
      <c r="L18" s="997"/>
      <c r="M18" s="997"/>
      <c r="N18" s="188"/>
      <c r="O18" s="188"/>
      <c r="P18" s="188">
        <f>16300+9996</f>
        <v>26296</v>
      </c>
      <c r="Q18" s="188"/>
      <c r="R18" s="188">
        <v>39566</v>
      </c>
      <c r="S18" s="188"/>
      <c r="T18" s="937"/>
      <c r="U18" s="997">
        <f t="shared" si="4"/>
        <v>26296</v>
      </c>
      <c r="V18" s="997">
        <f t="shared" si="5"/>
        <v>39566</v>
      </c>
      <c r="W18" s="989">
        <f t="shared" si="6"/>
        <v>65862</v>
      </c>
      <c r="X18" s="40">
        <f t="shared" si="1"/>
        <v>3874.1416666666628</v>
      </c>
      <c r="Y18" s="1230">
        <f t="shared" si="9"/>
        <v>17821.369999999995</v>
      </c>
    </row>
    <row r="19" spans="1:25" x14ac:dyDescent="0.25">
      <c r="A19" s="139" t="s">
        <v>464</v>
      </c>
      <c r="B19" s="134"/>
      <c r="C19" s="52">
        <f>85000</f>
        <v>85000</v>
      </c>
      <c r="D19" s="720"/>
      <c r="E19" s="720">
        <f t="shared" si="2"/>
        <v>85000</v>
      </c>
      <c r="F19" s="720">
        <f t="shared" si="3"/>
        <v>63750</v>
      </c>
      <c r="G19" s="52">
        <f t="shared" si="7"/>
        <v>7083.333333333333</v>
      </c>
      <c r="H19" s="40">
        <f t="shared" si="8"/>
        <v>70833.333333333328</v>
      </c>
      <c r="I19" s="188"/>
      <c r="J19" s="997"/>
      <c r="K19" s="997"/>
      <c r="L19" s="997"/>
      <c r="M19" s="997"/>
      <c r="N19" s="188"/>
      <c r="O19" s="188"/>
      <c r="P19" s="188"/>
      <c r="Q19" s="188"/>
      <c r="R19" s="188"/>
      <c r="S19" s="188"/>
      <c r="T19" s="188"/>
      <c r="U19" s="997">
        <f t="shared" si="4"/>
        <v>0</v>
      </c>
      <c r="V19" s="997">
        <f t="shared" si="5"/>
        <v>0</v>
      </c>
      <c r="W19" s="989">
        <f t="shared" si="6"/>
        <v>0</v>
      </c>
      <c r="X19" s="40">
        <f t="shared" si="1"/>
        <v>70833.333333333328</v>
      </c>
      <c r="Y19" s="1230">
        <f t="shared" si="9"/>
        <v>85000</v>
      </c>
    </row>
    <row r="20" spans="1:25" x14ac:dyDescent="0.25">
      <c r="A20" s="139" t="s">
        <v>465</v>
      </c>
      <c r="B20" s="134"/>
      <c r="C20" s="52">
        <f>40000</f>
        <v>40000</v>
      </c>
      <c r="D20" s="720"/>
      <c r="E20" s="720">
        <f t="shared" si="2"/>
        <v>40000</v>
      </c>
      <c r="F20" s="720">
        <f t="shared" si="3"/>
        <v>30000</v>
      </c>
      <c r="G20" s="52">
        <f t="shared" si="7"/>
        <v>3333.3333333333335</v>
      </c>
      <c r="H20" s="40">
        <f t="shared" si="8"/>
        <v>33333.333333333336</v>
      </c>
      <c r="I20" s="188"/>
      <c r="J20" s="997"/>
      <c r="K20" s="997"/>
      <c r="L20" s="997"/>
      <c r="M20" s="997"/>
      <c r="N20" s="188"/>
      <c r="O20" s="188"/>
      <c r="P20" s="188"/>
      <c r="Q20" s="188"/>
      <c r="R20" s="188"/>
      <c r="S20" s="188"/>
      <c r="T20" s="188"/>
      <c r="U20" s="997">
        <f t="shared" si="4"/>
        <v>0</v>
      </c>
      <c r="V20" s="997">
        <f t="shared" si="5"/>
        <v>0</v>
      </c>
      <c r="W20" s="989">
        <f t="shared" si="6"/>
        <v>0</v>
      </c>
      <c r="X20" s="40">
        <f t="shared" si="1"/>
        <v>33333.333333333336</v>
      </c>
      <c r="Y20" s="1230">
        <f t="shared" si="9"/>
        <v>40000</v>
      </c>
    </row>
    <row r="21" spans="1:25" x14ac:dyDescent="0.25">
      <c r="A21" s="349" t="s">
        <v>466</v>
      </c>
      <c r="B21" s="134"/>
      <c r="C21" s="52">
        <f>50000</f>
        <v>50000</v>
      </c>
      <c r="D21" s="720"/>
      <c r="E21" s="720">
        <f t="shared" si="2"/>
        <v>50000</v>
      </c>
      <c r="F21" s="720">
        <f t="shared" si="3"/>
        <v>37500</v>
      </c>
      <c r="G21" s="52">
        <f t="shared" si="7"/>
        <v>4166.666666666667</v>
      </c>
      <c r="H21" s="40">
        <f t="shared" si="8"/>
        <v>41666.666666666664</v>
      </c>
      <c r="I21" s="188"/>
      <c r="J21" s="997"/>
      <c r="K21" s="997"/>
      <c r="L21" s="997"/>
      <c r="M21" s="997"/>
      <c r="N21" s="188"/>
      <c r="O21" s="188"/>
      <c r="P21" s="188"/>
      <c r="Q21" s="188"/>
      <c r="R21" s="188"/>
      <c r="S21" s="188"/>
      <c r="T21" s="188"/>
      <c r="U21" s="997">
        <f t="shared" si="4"/>
        <v>0</v>
      </c>
      <c r="V21" s="997">
        <f t="shared" si="5"/>
        <v>0</v>
      </c>
      <c r="W21" s="989">
        <f t="shared" si="6"/>
        <v>0</v>
      </c>
      <c r="X21" s="40">
        <f t="shared" si="1"/>
        <v>41666.666666666664</v>
      </c>
      <c r="Y21" s="1230">
        <f t="shared" si="9"/>
        <v>50000</v>
      </c>
    </row>
    <row r="22" spans="1:25" x14ac:dyDescent="0.25">
      <c r="A22" s="55" t="s">
        <v>467</v>
      </c>
      <c r="B22" s="134" t="s">
        <v>273</v>
      </c>
      <c r="C22" s="52">
        <v>0</v>
      </c>
      <c r="D22" s="720"/>
      <c r="E22" s="720">
        <f t="shared" si="2"/>
        <v>0</v>
      </c>
      <c r="F22" s="720">
        <f t="shared" si="3"/>
        <v>0</v>
      </c>
      <c r="G22" s="52">
        <f t="shared" ref="G22:G24" si="10">E22/12</f>
        <v>0</v>
      </c>
      <c r="H22" s="40">
        <f t="shared" si="8"/>
        <v>0</v>
      </c>
      <c r="I22" s="188"/>
      <c r="J22" s="997"/>
      <c r="K22" s="997"/>
      <c r="L22" s="997"/>
      <c r="M22" s="997"/>
      <c r="N22" s="188"/>
      <c r="O22" s="188"/>
      <c r="P22" s="188"/>
      <c r="Q22" s="188"/>
      <c r="R22" s="188"/>
      <c r="S22" s="188"/>
      <c r="T22" s="188"/>
      <c r="U22" s="997">
        <f t="shared" si="4"/>
        <v>0</v>
      </c>
      <c r="V22" s="997">
        <f t="shared" si="5"/>
        <v>0</v>
      </c>
      <c r="W22" s="989">
        <f t="shared" si="6"/>
        <v>0</v>
      </c>
      <c r="X22" s="40">
        <f t="shared" ref="X22:X24" si="11">H22-W22</f>
        <v>0</v>
      </c>
      <c r="Y22" s="1230">
        <f t="shared" si="9"/>
        <v>0</v>
      </c>
    </row>
    <row r="23" spans="1:25" x14ac:dyDescent="0.25">
      <c r="A23" s="139" t="s">
        <v>468</v>
      </c>
      <c r="B23" s="134"/>
      <c r="C23" s="52">
        <f>100000</f>
        <v>100000</v>
      </c>
      <c r="D23" s="720"/>
      <c r="E23" s="720">
        <f t="shared" si="2"/>
        <v>100000</v>
      </c>
      <c r="F23" s="720">
        <f t="shared" si="3"/>
        <v>75000</v>
      </c>
      <c r="G23" s="52">
        <f t="shared" si="10"/>
        <v>8333.3333333333339</v>
      </c>
      <c r="H23" s="40">
        <f t="shared" si="8"/>
        <v>83333.333333333328</v>
      </c>
      <c r="I23" s="188"/>
      <c r="J23" s="997"/>
      <c r="K23" s="997"/>
      <c r="L23" s="997"/>
      <c r="M23" s="997"/>
      <c r="N23" s="188"/>
      <c r="O23" s="188"/>
      <c r="P23" s="188"/>
      <c r="Q23" s="188"/>
      <c r="R23" s="188"/>
      <c r="S23" s="188"/>
      <c r="T23" s="188"/>
      <c r="U23" s="997">
        <f t="shared" si="4"/>
        <v>0</v>
      </c>
      <c r="V23" s="997">
        <f t="shared" si="5"/>
        <v>0</v>
      </c>
      <c r="W23" s="989">
        <f t="shared" si="6"/>
        <v>0</v>
      </c>
      <c r="X23" s="40">
        <f t="shared" si="11"/>
        <v>83333.333333333328</v>
      </c>
      <c r="Y23" s="1230">
        <f t="shared" si="9"/>
        <v>100000</v>
      </c>
    </row>
    <row r="24" spans="1:25" x14ac:dyDescent="0.25">
      <c r="A24" s="354" t="s">
        <v>469</v>
      </c>
      <c r="B24" s="134" t="s">
        <v>279</v>
      </c>
      <c r="C24" s="52"/>
      <c r="D24" s="720"/>
      <c r="E24" s="720">
        <f t="shared" si="2"/>
        <v>0</v>
      </c>
      <c r="F24" s="720">
        <f t="shared" si="3"/>
        <v>0</v>
      </c>
      <c r="G24" s="52">
        <f t="shared" si="10"/>
        <v>0</v>
      </c>
      <c r="H24" s="40">
        <f t="shared" si="8"/>
        <v>0</v>
      </c>
      <c r="I24" s="188"/>
      <c r="J24" s="997"/>
      <c r="K24" s="997"/>
      <c r="L24" s="997"/>
      <c r="M24" s="997"/>
      <c r="N24" s="188"/>
      <c r="O24" s="188"/>
      <c r="P24" s="188"/>
      <c r="Q24" s="188"/>
      <c r="R24" s="188"/>
      <c r="S24" s="188"/>
      <c r="T24" s="188"/>
      <c r="U24" s="997">
        <f t="shared" si="4"/>
        <v>0</v>
      </c>
      <c r="V24" s="997">
        <f t="shared" si="5"/>
        <v>0</v>
      </c>
      <c r="W24" s="989">
        <f t="shared" si="6"/>
        <v>0</v>
      </c>
      <c r="X24" s="40">
        <f t="shared" si="11"/>
        <v>0</v>
      </c>
      <c r="Y24" s="1230">
        <f t="shared" si="9"/>
        <v>0</v>
      </c>
    </row>
    <row r="25" spans="1:25" x14ac:dyDescent="0.25">
      <c r="A25" s="349" t="s">
        <v>470</v>
      </c>
      <c r="B25" s="134"/>
      <c r="C25" s="52">
        <v>100000</v>
      </c>
      <c r="D25" s="720"/>
      <c r="E25" s="720">
        <f t="shared" si="2"/>
        <v>100000</v>
      </c>
      <c r="F25" s="720">
        <f t="shared" si="3"/>
        <v>75000</v>
      </c>
      <c r="G25" s="52">
        <f t="shared" ref="G25" si="12">E25/12</f>
        <v>8333.3333333333339</v>
      </c>
      <c r="H25" s="40">
        <f t="shared" si="8"/>
        <v>83333.333333333328</v>
      </c>
      <c r="I25" s="188"/>
      <c r="J25" s="997"/>
      <c r="K25" s="997"/>
      <c r="L25" s="997"/>
      <c r="M25" s="997"/>
      <c r="N25" s="188"/>
      <c r="O25" s="188"/>
      <c r="P25" s="188"/>
      <c r="Q25" s="188"/>
      <c r="R25" s="188"/>
      <c r="S25" s="188"/>
      <c r="T25" s="188"/>
      <c r="U25" s="997">
        <f t="shared" si="4"/>
        <v>0</v>
      </c>
      <c r="V25" s="997">
        <f t="shared" si="5"/>
        <v>0</v>
      </c>
      <c r="W25" s="989">
        <f t="shared" si="6"/>
        <v>0</v>
      </c>
      <c r="X25" s="40">
        <f t="shared" ref="X25" si="13">H25-W25</f>
        <v>83333.333333333328</v>
      </c>
      <c r="Y25" s="1230">
        <f t="shared" si="9"/>
        <v>100000</v>
      </c>
    </row>
    <row r="26" spans="1:25" x14ac:dyDescent="0.25">
      <c r="A26" s="349" t="s">
        <v>472</v>
      </c>
      <c r="B26" s="134"/>
      <c r="C26" s="52">
        <f>50000</f>
        <v>50000</v>
      </c>
      <c r="D26" s="720"/>
      <c r="E26" s="720">
        <f t="shared" si="2"/>
        <v>50000</v>
      </c>
      <c r="F26" s="720">
        <f t="shared" si="3"/>
        <v>37500</v>
      </c>
      <c r="G26" s="52">
        <f t="shared" si="7"/>
        <v>4166.666666666667</v>
      </c>
      <c r="H26" s="40">
        <f t="shared" si="8"/>
        <v>41666.666666666664</v>
      </c>
      <c r="I26" s="188"/>
      <c r="J26" s="997"/>
      <c r="K26" s="997"/>
      <c r="L26" s="997"/>
      <c r="M26" s="997"/>
      <c r="N26" s="188"/>
      <c r="O26" s="188"/>
      <c r="P26" s="188"/>
      <c r="Q26" s="188"/>
      <c r="R26" s="188"/>
      <c r="S26" s="188"/>
      <c r="T26" s="188"/>
      <c r="U26" s="997">
        <f t="shared" si="4"/>
        <v>0</v>
      </c>
      <c r="V26" s="997">
        <f t="shared" si="5"/>
        <v>0</v>
      </c>
      <c r="W26" s="989">
        <f t="shared" si="6"/>
        <v>0</v>
      </c>
      <c r="X26" s="40">
        <f t="shared" si="1"/>
        <v>41666.666666666664</v>
      </c>
      <c r="Y26" s="1230">
        <f t="shared" si="9"/>
        <v>50000</v>
      </c>
    </row>
    <row r="27" spans="1:25" ht="25.5" x14ac:dyDescent="0.25">
      <c r="A27" s="349" t="s">
        <v>471</v>
      </c>
      <c r="B27" s="134"/>
      <c r="C27" s="52">
        <f>100000</f>
        <v>100000</v>
      </c>
      <c r="D27" s="720"/>
      <c r="E27" s="720">
        <f t="shared" si="2"/>
        <v>100000</v>
      </c>
      <c r="F27" s="720">
        <f t="shared" si="3"/>
        <v>75000</v>
      </c>
      <c r="G27" s="52">
        <f t="shared" ref="G27:G28" si="14">E27/12</f>
        <v>8333.3333333333339</v>
      </c>
      <c r="H27" s="40">
        <f t="shared" si="8"/>
        <v>83333.333333333328</v>
      </c>
      <c r="I27" s="188"/>
      <c r="J27" s="997"/>
      <c r="K27" s="997"/>
      <c r="L27" s="997"/>
      <c r="M27" s="997"/>
      <c r="N27" s="188"/>
      <c r="O27" s="188"/>
      <c r="P27" s="188"/>
      <c r="Q27" s="188"/>
      <c r="R27" s="188">
        <v>96170</v>
      </c>
      <c r="S27" s="188"/>
      <c r="T27" s="188">
        <v>96170</v>
      </c>
      <c r="U27" s="997">
        <f t="shared" si="4"/>
        <v>0</v>
      </c>
      <c r="V27" s="997">
        <f t="shared" si="5"/>
        <v>96170</v>
      </c>
      <c r="W27" s="989">
        <f t="shared" si="6"/>
        <v>96170</v>
      </c>
      <c r="X27" s="40">
        <f t="shared" ref="X27:X28" si="15">H27-W27</f>
        <v>-12836.666666666672</v>
      </c>
      <c r="Y27" s="1230">
        <f t="shared" si="9"/>
        <v>3830</v>
      </c>
    </row>
    <row r="28" spans="1:25" x14ac:dyDescent="0.25">
      <c r="A28" s="349" t="s">
        <v>473</v>
      </c>
      <c r="B28" s="134"/>
      <c r="C28" s="52">
        <v>10000</v>
      </c>
      <c r="D28" s="720"/>
      <c r="E28" s="720">
        <f t="shared" si="2"/>
        <v>10000</v>
      </c>
      <c r="F28" s="720">
        <f t="shared" si="3"/>
        <v>7500</v>
      </c>
      <c r="G28" s="52">
        <f t="shared" si="14"/>
        <v>833.33333333333337</v>
      </c>
      <c r="H28" s="40">
        <f t="shared" si="8"/>
        <v>8333.3333333333339</v>
      </c>
      <c r="I28" s="188"/>
      <c r="J28" s="997"/>
      <c r="K28" s="997"/>
      <c r="L28" s="997"/>
      <c r="M28" s="997"/>
      <c r="N28" s="188"/>
      <c r="O28" s="188"/>
      <c r="P28" s="188"/>
      <c r="Q28" s="188"/>
      <c r="R28" s="188"/>
      <c r="S28" s="188"/>
      <c r="T28" s="188"/>
      <c r="U28" s="997">
        <f t="shared" si="4"/>
        <v>0</v>
      </c>
      <c r="V28" s="997">
        <f t="shared" si="5"/>
        <v>0</v>
      </c>
      <c r="W28" s="989">
        <f t="shared" si="6"/>
        <v>0</v>
      </c>
      <c r="X28" s="40">
        <f t="shared" si="15"/>
        <v>8333.3333333333339</v>
      </c>
      <c r="Y28" s="1230">
        <f t="shared" si="9"/>
        <v>10000</v>
      </c>
    </row>
    <row r="29" spans="1:25" x14ac:dyDescent="0.25">
      <c r="A29" s="140" t="s">
        <v>474</v>
      </c>
      <c r="B29" s="134" t="s">
        <v>56</v>
      </c>
      <c r="C29" s="52">
        <v>300000</v>
      </c>
      <c r="D29" s="720"/>
      <c r="E29" s="720">
        <f t="shared" si="2"/>
        <v>300000</v>
      </c>
      <c r="F29" s="720">
        <f t="shared" si="3"/>
        <v>225000</v>
      </c>
      <c r="G29" s="52">
        <f t="shared" si="7"/>
        <v>25000</v>
      </c>
      <c r="H29" s="40">
        <f t="shared" si="8"/>
        <v>250000</v>
      </c>
      <c r="I29" s="265"/>
      <c r="J29" s="997">
        <v>22207.52</v>
      </c>
      <c r="K29" s="997">
        <v>19088.5</v>
      </c>
      <c r="L29" s="997"/>
      <c r="M29" s="997">
        <v>38175.01</v>
      </c>
      <c r="N29" s="265"/>
      <c r="O29" s="265">
        <v>81483.22</v>
      </c>
      <c r="P29" s="265"/>
      <c r="Q29" s="265">
        <v>59352.85</v>
      </c>
      <c r="R29" s="265"/>
      <c r="S29" s="265"/>
      <c r="T29" s="265"/>
      <c r="U29" s="997">
        <f t="shared" si="4"/>
        <v>220307.1</v>
      </c>
      <c r="V29" s="997">
        <f t="shared" si="5"/>
        <v>0</v>
      </c>
      <c r="W29" s="989">
        <f t="shared" si="6"/>
        <v>220307.1</v>
      </c>
      <c r="X29" s="40">
        <f t="shared" si="1"/>
        <v>29692.899999999994</v>
      </c>
      <c r="Y29" s="1230">
        <f t="shared" si="9"/>
        <v>79692.899999999994</v>
      </c>
    </row>
    <row r="30" spans="1:25" x14ac:dyDescent="0.25">
      <c r="A30" s="142" t="s">
        <v>475</v>
      </c>
      <c r="B30" s="134" t="s">
        <v>150</v>
      </c>
      <c r="C30" s="52"/>
      <c r="D30" s="720"/>
      <c r="E30" s="720">
        <f t="shared" si="2"/>
        <v>0</v>
      </c>
      <c r="F30" s="720">
        <f t="shared" si="3"/>
        <v>0</v>
      </c>
      <c r="G30" s="52"/>
      <c r="H30" s="40"/>
      <c r="I30" s="265"/>
      <c r="J30" s="997"/>
      <c r="K30" s="997"/>
      <c r="L30" s="997"/>
      <c r="M30" s="997"/>
      <c r="N30" s="265"/>
      <c r="O30" s="265"/>
      <c r="P30" s="265"/>
      <c r="Q30" s="265"/>
      <c r="R30" s="265"/>
      <c r="S30" s="265"/>
      <c r="T30" s="265"/>
      <c r="U30" s="997">
        <f t="shared" si="4"/>
        <v>0</v>
      </c>
      <c r="V30" s="997">
        <f t="shared" si="5"/>
        <v>0</v>
      </c>
      <c r="W30" s="989">
        <f t="shared" si="6"/>
        <v>0</v>
      </c>
      <c r="X30" s="40">
        <f t="shared" ref="X30:X31" si="16">H30-W30</f>
        <v>0</v>
      </c>
      <c r="Y30" s="1230">
        <f t="shared" si="9"/>
        <v>0</v>
      </c>
    </row>
    <row r="31" spans="1:25" ht="20.25" customHeight="1" x14ac:dyDescent="0.25">
      <c r="A31" s="141" t="s">
        <v>476</v>
      </c>
      <c r="B31" s="114"/>
      <c r="C31" s="52">
        <v>50000</v>
      </c>
      <c r="D31" s="720"/>
      <c r="E31" s="720">
        <f t="shared" si="2"/>
        <v>50000</v>
      </c>
      <c r="F31" s="720">
        <f t="shared" si="3"/>
        <v>37500</v>
      </c>
      <c r="G31" s="52">
        <f t="shared" ref="G31" si="17">E31/12</f>
        <v>4166.666666666667</v>
      </c>
      <c r="H31" s="40">
        <f t="shared" ref="H31:H64" si="18">F31+G31</f>
        <v>41666.666666666664</v>
      </c>
      <c r="I31" s="265"/>
      <c r="J31" s="997"/>
      <c r="K31" s="997"/>
      <c r="L31" s="997"/>
      <c r="M31" s="997"/>
      <c r="N31" s="265"/>
      <c r="O31" s="265"/>
      <c r="P31" s="265"/>
      <c r="Q31" s="265"/>
      <c r="R31" s="265"/>
      <c r="S31" s="265"/>
      <c r="T31" s="265"/>
      <c r="U31" s="997">
        <f t="shared" si="4"/>
        <v>0</v>
      </c>
      <c r="V31" s="997">
        <f t="shared" si="5"/>
        <v>0</v>
      </c>
      <c r="W31" s="989">
        <f t="shared" si="6"/>
        <v>0</v>
      </c>
      <c r="X31" s="40">
        <f t="shared" si="16"/>
        <v>41666.666666666664</v>
      </c>
      <c r="Y31" s="1230">
        <f t="shared" si="9"/>
        <v>50000</v>
      </c>
    </row>
    <row r="32" spans="1:25" x14ac:dyDescent="0.25">
      <c r="A32" s="142" t="s">
        <v>477</v>
      </c>
      <c r="B32" s="134" t="s">
        <v>150</v>
      </c>
      <c r="C32" s="52"/>
      <c r="D32" s="720"/>
      <c r="E32" s="720">
        <f t="shared" si="2"/>
        <v>0</v>
      </c>
      <c r="F32" s="720">
        <f t="shared" si="3"/>
        <v>0</v>
      </c>
      <c r="G32" s="52">
        <f t="shared" si="7"/>
        <v>0</v>
      </c>
      <c r="H32" s="40">
        <f t="shared" si="18"/>
        <v>0</v>
      </c>
      <c r="I32" s="265"/>
      <c r="J32" s="997"/>
      <c r="K32" s="997"/>
      <c r="L32" s="997"/>
      <c r="M32" s="997"/>
      <c r="N32" s="265"/>
      <c r="O32" s="265"/>
      <c r="P32" s="265"/>
      <c r="Q32" s="265"/>
      <c r="R32" s="265"/>
      <c r="S32" s="265"/>
      <c r="T32" s="265"/>
      <c r="U32" s="997">
        <f t="shared" si="4"/>
        <v>0</v>
      </c>
      <c r="V32" s="997">
        <f t="shared" si="5"/>
        <v>0</v>
      </c>
      <c r="W32" s="989">
        <f t="shared" si="6"/>
        <v>0</v>
      </c>
      <c r="X32" s="40">
        <f t="shared" si="1"/>
        <v>0</v>
      </c>
      <c r="Y32" s="1230">
        <f t="shared" si="9"/>
        <v>0</v>
      </c>
    </row>
    <row r="33" spans="1:25" ht="25.5" x14ac:dyDescent="0.25">
      <c r="A33" s="141" t="s">
        <v>478</v>
      </c>
      <c r="B33" s="114"/>
      <c r="C33" s="52">
        <v>35600</v>
      </c>
      <c r="D33" s="720"/>
      <c r="E33" s="720">
        <f t="shared" si="2"/>
        <v>35600</v>
      </c>
      <c r="F33" s="720">
        <f t="shared" si="3"/>
        <v>26700</v>
      </c>
      <c r="G33" s="52">
        <f t="shared" si="7"/>
        <v>2966.6666666666665</v>
      </c>
      <c r="H33" s="40">
        <f t="shared" si="18"/>
        <v>29666.666666666668</v>
      </c>
      <c r="I33" s="265"/>
      <c r="J33" s="997">
        <v>3733.33</v>
      </c>
      <c r="K33" s="997"/>
      <c r="L33" s="997"/>
      <c r="M33" s="997"/>
      <c r="N33" s="265"/>
      <c r="O33" s="265">
        <v>450</v>
      </c>
      <c r="P33" s="265"/>
      <c r="Q33" s="265"/>
      <c r="R33" s="265"/>
      <c r="S33" s="265"/>
      <c r="T33" s="265"/>
      <c r="U33" s="997">
        <f t="shared" si="4"/>
        <v>4183.33</v>
      </c>
      <c r="V33" s="997">
        <f t="shared" si="5"/>
        <v>0</v>
      </c>
      <c r="W33" s="989">
        <f t="shared" si="6"/>
        <v>4183.33</v>
      </c>
      <c r="X33" s="40">
        <f t="shared" si="1"/>
        <v>25483.33666666667</v>
      </c>
      <c r="Y33" s="1230">
        <f t="shared" si="9"/>
        <v>31416.67</v>
      </c>
    </row>
    <row r="34" spans="1:25" x14ac:dyDescent="0.25">
      <c r="A34" s="143" t="s">
        <v>479</v>
      </c>
      <c r="B34" s="114"/>
      <c r="C34" s="144">
        <v>10000</v>
      </c>
      <c r="D34" s="144"/>
      <c r="E34" s="720">
        <f t="shared" si="2"/>
        <v>10000</v>
      </c>
      <c r="F34" s="720">
        <f t="shared" si="3"/>
        <v>7500</v>
      </c>
      <c r="G34" s="52">
        <f t="shared" si="7"/>
        <v>833.33333333333337</v>
      </c>
      <c r="H34" s="40">
        <f t="shared" si="18"/>
        <v>8333.3333333333339</v>
      </c>
      <c r="I34" s="265"/>
      <c r="J34" s="997"/>
      <c r="K34" s="997"/>
      <c r="L34" s="997"/>
      <c r="M34" s="997"/>
      <c r="N34" s="265"/>
      <c r="O34" s="265"/>
      <c r="P34" s="265"/>
      <c r="Q34" s="265"/>
      <c r="R34" s="265"/>
      <c r="S34" s="265"/>
      <c r="T34" s="265"/>
      <c r="U34" s="997">
        <f t="shared" si="4"/>
        <v>0</v>
      </c>
      <c r="V34" s="997">
        <f t="shared" si="5"/>
        <v>0</v>
      </c>
      <c r="W34" s="989">
        <f t="shared" si="6"/>
        <v>0</v>
      </c>
      <c r="X34" s="40">
        <f t="shared" ref="X34:X51" si="19">H34-W34</f>
        <v>8333.3333333333339</v>
      </c>
      <c r="Y34" s="1230">
        <f t="shared" si="9"/>
        <v>10000</v>
      </c>
    </row>
    <row r="35" spans="1:25" x14ac:dyDescent="0.25">
      <c r="A35" s="143" t="s">
        <v>480</v>
      </c>
      <c r="B35" s="114"/>
      <c r="C35" s="144">
        <v>20000</v>
      </c>
      <c r="D35" s="144"/>
      <c r="E35" s="720">
        <f t="shared" si="2"/>
        <v>20000</v>
      </c>
      <c r="F35" s="720">
        <f t="shared" si="3"/>
        <v>15000</v>
      </c>
      <c r="G35" s="52">
        <f t="shared" si="7"/>
        <v>1666.6666666666667</v>
      </c>
      <c r="H35" s="40">
        <f t="shared" si="18"/>
        <v>16666.666666666668</v>
      </c>
      <c r="I35" s="78"/>
      <c r="J35" s="726"/>
      <c r="K35" s="726"/>
      <c r="L35" s="726"/>
      <c r="M35" s="726"/>
      <c r="N35" s="78"/>
      <c r="O35" s="78"/>
      <c r="P35" s="78"/>
      <c r="Q35" s="78"/>
      <c r="R35" s="78"/>
      <c r="S35" s="78"/>
      <c r="T35" s="78"/>
      <c r="U35" s="997">
        <f t="shared" si="4"/>
        <v>0</v>
      </c>
      <c r="V35" s="997">
        <f t="shared" si="5"/>
        <v>0</v>
      </c>
      <c r="W35" s="989">
        <f t="shared" si="6"/>
        <v>0</v>
      </c>
      <c r="X35" s="40">
        <f t="shared" si="19"/>
        <v>16666.666666666668</v>
      </c>
      <c r="Y35" s="1230">
        <f t="shared" si="9"/>
        <v>20000</v>
      </c>
    </row>
    <row r="36" spans="1:25" x14ac:dyDescent="0.25">
      <c r="A36" s="140" t="s">
        <v>481</v>
      </c>
      <c r="B36" s="134" t="s">
        <v>150</v>
      </c>
      <c r="C36" s="52"/>
      <c r="D36" s="720"/>
      <c r="E36" s="720">
        <f t="shared" si="2"/>
        <v>0</v>
      </c>
      <c r="F36" s="720">
        <f t="shared" si="3"/>
        <v>0</v>
      </c>
      <c r="G36" s="52">
        <f t="shared" si="7"/>
        <v>0</v>
      </c>
      <c r="H36" s="40">
        <f t="shared" si="18"/>
        <v>0</v>
      </c>
      <c r="I36" s="265"/>
      <c r="J36" s="997"/>
      <c r="K36" s="997"/>
      <c r="L36" s="997"/>
      <c r="M36" s="997"/>
      <c r="N36" s="265"/>
      <c r="O36" s="265"/>
      <c r="P36" s="265"/>
      <c r="Q36" s="265"/>
      <c r="R36" s="265"/>
      <c r="S36" s="265"/>
      <c r="T36" s="265"/>
      <c r="U36" s="997">
        <f t="shared" si="4"/>
        <v>0</v>
      </c>
      <c r="V36" s="997">
        <f t="shared" si="5"/>
        <v>0</v>
      </c>
      <c r="W36" s="989">
        <f t="shared" si="6"/>
        <v>0</v>
      </c>
      <c r="X36" s="40">
        <f t="shared" si="19"/>
        <v>0</v>
      </c>
      <c r="Y36" s="1230">
        <f t="shared" si="9"/>
        <v>0</v>
      </c>
    </row>
    <row r="37" spans="1:25" x14ac:dyDescent="0.25">
      <c r="A37" s="138" t="s">
        <v>482</v>
      </c>
      <c r="B37" s="134"/>
      <c r="C37" s="52">
        <v>6000</v>
      </c>
      <c r="D37" s="720"/>
      <c r="E37" s="720">
        <f t="shared" si="2"/>
        <v>6000</v>
      </c>
      <c r="F37" s="720">
        <f t="shared" si="3"/>
        <v>4500</v>
      </c>
      <c r="G37" s="52">
        <f t="shared" si="7"/>
        <v>500</v>
      </c>
      <c r="H37" s="40">
        <f t="shared" si="18"/>
        <v>5000</v>
      </c>
      <c r="I37" s="265"/>
      <c r="J37" s="997"/>
      <c r="K37" s="997"/>
      <c r="L37" s="997"/>
      <c r="M37" s="997"/>
      <c r="N37" s="265"/>
      <c r="O37" s="265"/>
      <c r="P37" s="265"/>
      <c r="Q37" s="265"/>
      <c r="R37" s="265"/>
      <c r="S37" s="265"/>
      <c r="T37" s="265"/>
      <c r="U37" s="997">
        <f t="shared" si="4"/>
        <v>0</v>
      </c>
      <c r="V37" s="997">
        <f t="shared" si="5"/>
        <v>0</v>
      </c>
      <c r="W37" s="989">
        <f t="shared" si="6"/>
        <v>0</v>
      </c>
      <c r="X37" s="40">
        <f t="shared" si="19"/>
        <v>5000</v>
      </c>
      <c r="Y37" s="1230">
        <f t="shared" si="9"/>
        <v>6000</v>
      </c>
    </row>
    <row r="38" spans="1:25" x14ac:dyDescent="0.25">
      <c r="A38" s="138" t="s">
        <v>483</v>
      </c>
      <c r="B38" s="134"/>
      <c r="C38" s="52">
        <v>14400</v>
      </c>
      <c r="D38" s="720"/>
      <c r="E38" s="720">
        <f t="shared" si="2"/>
        <v>14400</v>
      </c>
      <c r="F38" s="720">
        <f t="shared" si="3"/>
        <v>10800</v>
      </c>
      <c r="G38" s="52">
        <f t="shared" ref="G38:G48" si="20">E38/12</f>
        <v>1200</v>
      </c>
      <c r="H38" s="40">
        <f t="shared" si="18"/>
        <v>12000</v>
      </c>
      <c r="I38" s="265">
        <v>7188</v>
      </c>
      <c r="J38" s="997"/>
      <c r="K38" s="997">
        <v>7188</v>
      </c>
      <c r="L38" s="997"/>
      <c r="M38" s="997"/>
      <c r="N38" s="265"/>
      <c r="O38" s="265"/>
      <c r="P38" s="265"/>
      <c r="Q38" s="265"/>
      <c r="R38" s="265"/>
      <c r="S38" s="265"/>
      <c r="T38" s="265"/>
      <c r="U38" s="997">
        <f t="shared" si="4"/>
        <v>14376</v>
      </c>
      <c r="V38" s="997">
        <f t="shared" si="5"/>
        <v>0</v>
      </c>
      <c r="W38" s="989">
        <f t="shared" si="6"/>
        <v>14376</v>
      </c>
      <c r="X38" s="40">
        <f t="shared" ref="X38:X48" si="21">H38-W38</f>
        <v>-2376</v>
      </c>
      <c r="Y38" s="1230">
        <f t="shared" si="9"/>
        <v>24</v>
      </c>
    </row>
    <row r="39" spans="1:25" x14ac:dyDescent="0.25">
      <c r="A39" s="142" t="s">
        <v>484</v>
      </c>
      <c r="B39" s="134" t="s">
        <v>76</v>
      </c>
      <c r="C39" s="188"/>
      <c r="D39" s="937"/>
      <c r="E39" s="720">
        <f t="shared" si="2"/>
        <v>0</v>
      </c>
      <c r="F39" s="720">
        <f t="shared" si="3"/>
        <v>0</v>
      </c>
      <c r="G39" s="52">
        <f t="shared" si="20"/>
        <v>0</v>
      </c>
      <c r="H39" s="40">
        <f t="shared" si="18"/>
        <v>0</v>
      </c>
      <c r="I39" s="265"/>
      <c r="J39" s="997"/>
      <c r="K39" s="997"/>
      <c r="L39" s="997"/>
      <c r="M39" s="997"/>
      <c r="N39" s="265"/>
      <c r="O39" s="265"/>
      <c r="P39" s="265"/>
      <c r="Q39" s="265"/>
      <c r="R39" s="265"/>
      <c r="S39" s="265"/>
      <c r="T39" s="265"/>
      <c r="U39" s="997">
        <f t="shared" si="4"/>
        <v>0</v>
      </c>
      <c r="V39" s="997">
        <f t="shared" si="5"/>
        <v>0</v>
      </c>
      <c r="W39" s="989">
        <f t="shared" si="6"/>
        <v>0</v>
      </c>
      <c r="X39" s="40">
        <f t="shared" si="21"/>
        <v>0</v>
      </c>
      <c r="Y39" s="1230">
        <f t="shared" si="9"/>
        <v>0</v>
      </c>
    </row>
    <row r="40" spans="1:25" ht="25.5" x14ac:dyDescent="0.25">
      <c r="A40" s="349" t="s">
        <v>206</v>
      </c>
      <c r="B40" s="134"/>
      <c r="C40" s="52">
        <v>100000</v>
      </c>
      <c r="D40" s="720"/>
      <c r="E40" s="720">
        <f t="shared" si="2"/>
        <v>100000</v>
      </c>
      <c r="F40" s="720">
        <f t="shared" si="3"/>
        <v>75000</v>
      </c>
      <c r="G40" s="52">
        <f t="shared" si="20"/>
        <v>8333.3333333333339</v>
      </c>
      <c r="H40" s="40">
        <f t="shared" si="18"/>
        <v>83333.333333333328</v>
      </c>
      <c r="I40" s="188"/>
      <c r="J40" s="997"/>
      <c r="K40" s="997"/>
      <c r="L40" s="997"/>
      <c r="M40" s="997"/>
      <c r="N40" s="188"/>
      <c r="O40" s="188"/>
      <c r="P40" s="188"/>
      <c r="Q40" s="188"/>
      <c r="R40" s="188"/>
      <c r="S40" s="188"/>
      <c r="T40" s="188"/>
      <c r="U40" s="997">
        <f t="shared" si="4"/>
        <v>0</v>
      </c>
      <c r="V40" s="997">
        <f t="shared" si="5"/>
        <v>0</v>
      </c>
      <c r="W40" s="989">
        <f t="shared" si="6"/>
        <v>0</v>
      </c>
      <c r="X40" s="40">
        <f t="shared" si="21"/>
        <v>83333.333333333328</v>
      </c>
      <c r="Y40" s="1230">
        <f t="shared" si="9"/>
        <v>100000</v>
      </c>
    </row>
    <row r="41" spans="1:25" ht="25.5" customHeight="1" x14ac:dyDescent="0.25">
      <c r="A41" s="142" t="s">
        <v>485</v>
      </c>
      <c r="B41" s="134" t="s">
        <v>87</v>
      </c>
      <c r="C41" s="52"/>
      <c r="D41" s="720"/>
      <c r="E41" s="720">
        <f t="shared" si="2"/>
        <v>0</v>
      </c>
      <c r="F41" s="720">
        <f t="shared" si="3"/>
        <v>0</v>
      </c>
      <c r="G41" s="52">
        <f t="shared" si="20"/>
        <v>0</v>
      </c>
      <c r="H41" s="40">
        <f t="shared" si="18"/>
        <v>0</v>
      </c>
      <c r="I41" s="265"/>
      <c r="J41" s="997"/>
      <c r="K41" s="997"/>
      <c r="L41" s="997"/>
      <c r="M41" s="997"/>
      <c r="N41" s="265"/>
      <c r="O41" s="265"/>
      <c r="P41" s="265"/>
      <c r="Q41" s="265"/>
      <c r="R41" s="265"/>
      <c r="S41" s="265"/>
      <c r="T41" s="265"/>
      <c r="U41" s="997">
        <f t="shared" si="4"/>
        <v>0</v>
      </c>
      <c r="V41" s="997">
        <f t="shared" si="5"/>
        <v>0</v>
      </c>
      <c r="W41" s="989">
        <f t="shared" si="6"/>
        <v>0</v>
      </c>
      <c r="X41" s="40">
        <f t="shared" si="21"/>
        <v>0</v>
      </c>
      <c r="Y41" s="1230">
        <f t="shared" si="9"/>
        <v>0</v>
      </c>
    </row>
    <row r="42" spans="1:25" x14ac:dyDescent="0.25">
      <c r="A42" s="138" t="s">
        <v>486</v>
      </c>
      <c r="B42" s="134"/>
      <c r="C42" s="52">
        <v>50000</v>
      </c>
      <c r="D42" s="720"/>
      <c r="E42" s="720">
        <f t="shared" si="2"/>
        <v>50000</v>
      </c>
      <c r="F42" s="720">
        <f t="shared" si="3"/>
        <v>37500</v>
      </c>
      <c r="G42" s="52">
        <f t="shared" si="20"/>
        <v>4166.666666666667</v>
      </c>
      <c r="H42" s="40">
        <f t="shared" si="18"/>
        <v>41666.666666666664</v>
      </c>
      <c r="I42" s="109"/>
      <c r="J42" s="990"/>
      <c r="K42" s="990"/>
      <c r="L42" s="990"/>
      <c r="M42" s="990"/>
      <c r="N42" s="109"/>
      <c r="O42" s="109"/>
      <c r="P42" s="109"/>
      <c r="Q42" s="109"/>
      <c r="R42" s="109"/>
      <c r="S42" s="109"/>
      <c r="T42" s="109"/>
      <c r="U42" s="997">
        <f t="shared" si="4"/>
        <v>0</v>
      </c>
      <c r="V42" s="997">
        <f t="shared" si="5"/>
        <v>0</v>
      </c>
      <c r="W42" s="989">
        <f t="shared" si="6"/>
        <v>0</v>
      </c>
      <c r="X42" s="40">
        <f t="shared" si="21"/>
        <v>41666.666666666664</v>
      </c>
      <c r="Y42" s="1230">
        <f t="shared" si="9"/>
        <v>50000</v>
      </c>
    </row>
    <row r="43" spans="1:25" x14ac:dyDescent="0.25">
      <c r="A43" s="138" t="s">
        <v>487</v>
      </c>
      <c r="B43" s="134"/>
      <c r="C43" s="52">
        <v>25000</v>
      </c>
      <c r="D43" s="720"/>
      <c r="E43" s="720">
        <f t="shared" si="2"/>
        <v>25000</v>
      </c>
      <c r="F43" s="720">
        <f t="shared" si="3"/>
        <v>18750</v>
      </c>
      <c r="G43" s="52">
        <f t="shared" si="20"/>
        <v>2083.3333333333335</v>
      </c>
      <c r="H43" s="40">
        <f t="shared" si="18"/>
        <v>20833.333333333332</v>
      </c>
      <c r="I43" s="265"/>
      <c r="J43" s="997"/>
      <c r="K43" s="997"/>
      <c r="L43" s="997"/>
      <c r="M43" s="997"/>
      <c r="N43" s="265"/>
      <c r="O43" s="265"/>
      <c r="P43" s="265"/>
      <c r="Q43" s="265"/>
      <c r="R43" s="265"/>
      <c r="S43" s="265"/>
      <c r="T43" s="265"/>
      <c r="U43" s="997">
        <f t="shared" si="4"/>
        <v>0</v>
      </c>
      <c r="V43" s="997">
        <f t="shared" si="5"/>
        <v>0</v>
      </c>
      <c r="W43" s="989">
        <f t="shared" si="6"/>
        <v>0</v>
      </c>
      <c r="X43" s="40">
        <f t="shared" si="21"/>
        <v>20833.333333333332</v>
      </c>
      <c r="Y43" s="1230">
        <f t="shared" ref="Y43:Y64" si="22">E43-W43</f>
        <v>25000</v>
      </c>
    </row>
    <row r="44" spans="1:25" x14ac:dyDescent="0.25">
      <c r="A44" s="138" t="s">
        <v>488</v>
      </c>
      <c r="B44" s="134"/>
      <c r="C44" s="52">
        <v>25000</v>
      </c>
      <c r="D44" s="720"/>
      <c r="E44" s="720">
        <f t="shared" si="2"/>
        <v>25000</v>
      </c>
      <c r="F44" s="720">
        <f t="shared" si="3"/>
        <v>18750</v>
      </c>
      <c r="G44" s="52">
        <f t="shared" si="20"/>
        <v>2083.3333333333335</v>
      </c>
      <c r="H44" s="40">
        <f t="shared" si="18"/>
        <v>20833.333333333332</v>
      </c>
      <c r="I44" s="265"/>
      <c r="J44" s="997"/>
      <c r="K44" s="997"/>
      <c r="L44" s="997"/>
      <c r="M44" s="997"/>
      <c r="N44" s="265"/>
      <c r="O44" s="265"/>
      <c r="P44" s="265"/>
      <c r="Q44" s="265"/>
      <c r="R44" s="265"/>
      <c r="S44" s="265"/>
      <c r="T44" s="265"/>
      <c r="U44" s="997">
        <f t="shared" si="4"/>
        <v>0</v>
      </c>
      <c r="V44" s="997">
        <f t="shared" si="5"/>
        <v>0</v>
      </c>
      <c r="W44" s="989">
        <f t="shared" si="6"/>
        <v>0</v>
      </c>
      <c r="X44" s="40">
        <f t="shared" si="21"/>
        <v>20833.333333333332</v>
      </c>
      <c r="Y44" s="1230">
        <f t="shared" si="22"/>
        <v>25000</v>
      </c>
    </row>
    <row r="45" spans="1:25" x14ac:dyDescent="0.25">
      <c r="A45" s="355" t="s">
        <v>489</v>
      </c>
      <c r="B45" s="134" t="s">
        <v>76</v>
      </c>
      <c r="C45" s="52">
        <v>0</v>
      </c>
      <c r="D45" s="720"/>
      <c r="E45" s="720">
        <f t="shared" si="2"/>
        <v>0</v>
      </c>
      <c r="F45" s="720">
        <f t="shared" si="3"/>
        <v>0</v>
      </c>
      <c r="G45" s="52">
        <f t="shared" si="20"/>
        <v>0</v>
      </c>
      <c r="H45" s="40">
        <f t="shared" si="18"/>
        <v>0</v>
      </c>
      <c r="I45" s="265"/>
      <c r="J45" s="997"/>
      <c r="K45" s="997"/>
      <c r="L45" s="997"/>
      <c r="M45" s="997"/>
      <c r="N45" s="265"/>
      <c r="O45" s="265"/>
      <c r="P45" s="265"/>
      <c r="Q45" s="265"/>
      <c r="R45" s="265"/>
      <c r="S45" s="265"/>
      <c r="T45" s="265"/>
      <c r="U45" s="997">
        <f t="shared" si="4"/>
        <v>0</v>
      </c>
      <c r="V45" s="997">
        <f t="shared" si="5"/>
        <v>0</v>
      </c>
      <c r="W45" s="989">
        <f t="shared" si="6"/>
        <v>0</v>
      </c>
      <c r="X45" s="40">
        <f t="shared" si="21"/>
        <v>0</v>
      </c>
      <c r="Y45" s="1230">
        <f t="shared" si="22"/>
        <v>0</v>
      </c>
    </row>
    <row r="46" spans="1:25" x14ac:dyDescent="0.25">
      <c r="A46" s="138" t="s">
        <v>490</v>
      </c>
      <c r="B46" s="134"/>
      <c r="C46" s="52">
        <v>100000</v>
      </c>
      <c r="D46" s="720"/>
      <c r="E46" s="720">
        <f t="shared" si="2"/>
        <v>100000</v>
      </c>
      <c r="F46" s="720">
        <f t="shared" si="3"/>
        <v>75000</v>
      </c>
      <c r="G46" s="52">
        <f t="shared" si="20"/>
        <v>8333.3333333333339</v>
      </c>
      <c r="H46" s="40">
        <f t="shared" si="18"/>
        <v>83333.333333333328</v>
      </c>
      <c r="I46" s="265"/>
      <c r="J46" s="997"/>
      <c r="K46" s="997"/>
      <c r="L46" s="997"/>
      <c r="M46" s="997"/>
      <c r="N46" s="265"/>
      <c r="O46" s="265">
        <v>4889</v>
      </c>
      <c r="P46" s="265">
        <v>4350</v>
      </c>
      <c r="Q46" s="265"/>
      <c r="R46" s="265"/>
      <c r="S46" s="265"/>
      <c r="T46" s="265"/>
      <c r="U46" s="997">
        <f t="shared" si="4"/>
        <v>9239</v>
      </c>
      <c r="V46" s="997">
        <f t="shared" si="5"/>
        <v>0</v>
      </c>
      <c r="W46" s="989">
        <f t="shared" si="6"/>
        <v>9239</v>
      </c>
      <c r="X46" s="40">
        <f t="shared" si="21"/>
        <v>74094.333333333328</v>
      </c>
      <c r="Y46" s="1230">
        <f t="shared" si="22"/>
        <v>90761</v>
      </c>
    </row>
    <row r="47" spans="1:25" x14ac:dyDescent="0.25">
      <c r="A47" s="142" t="s">
        <v>491</v>
      </c>
      <c r="B47" s="134" t="s">
        <v>79</v>
      </c>
      <c r="C47" s="188"/>
      <c r="D47" s="937"/>
      <c r="E47" s="720">
        <f t="shared" si="2"/>
        <v>0</v>
      </c>
      <c r="F47" s="720">
        <f t="shared" si="3"/>
        <v>0</v>
      </c>
      <c r="G47" s="52">
        <f t="shared" si="20"/>
        <v>0</v>
      </c>
      <c r="H47" s="40">
        <f t="shared" si="18"/>
        <v>0</v>
      </c>
      <c r="I47" s="265"/>
      <c r="J47" s="997"/>
      <c r="K47" s="997"/>
      <c r="L47" s="997"/>
      <c r="M47" s="997"/>
      <c r="N47" s="265"/>
      <c r="O47" s="265"/>
      <c r="P47" s="265"/>
      <c r="Q47" s="265"/>
      <c r="R47" s="265"/>
      <c r="S47" s="265"/>
      <c r="T47" s="265"/>
      <c r="U47" s="997">
        <f t="shared" si="4"/>
        <v>0</v>
      </c>
      <c r="V47" s="997">
        <f t="shared" si="5"/>
        <v>0</v>
      </c>
      <c r="W47" s="989">
        <f t="shared" si="6"/>
        <v>0</v>
      </c>
      <c r="X47" s="40">
        <f t="shared" si="21"/>
        <v>0</v>
      </c>
      <c r="Y47" s="1230">
        <f t="shared" si="22"/>
        <v>0</v>
      </c>
    </row>
    <row r="48" spans="1:25" x14ac:dyDescent="0.25">
      <c r="A48" s="138" t="s">
        <v>492</v>
      </c>
      <c r="B48" s="134"/>
      <c r="C48" s="52">
        <v>200000</v>
      </c>
      <c r="D48" s="720"/>
      <c r="E48" s="720">
        <f t="shared" si="2"/>
        <v>200000</v>
      </c>
      <c r="F48" s="720">
        <f t="shared" si="3"/>
        <v>150000</v>
      </c>
      <c r="G48" s="52">
        <f t="shared" si="20"/>
        <v>16666.666666666668</v>
      </c>
      <c r="H48" s="40">
        <f t="shared" si="18"/>
        <v>166666.66666666666</v>
      </c>
      <c r="I48" s="265"/>
      <c r="J48" s="997"/>
      <c r="K48" s="997"/>
      <c r="L48" s="997">
        <v>17000</v>
      </c>
      <c r="M48" s="997"/>
      <c r="N48" s="265"/>
      <c r="O48" s="265">
        <v>14466.75</v>
      </c>
      <c r="P48" s="265">
        <v>76800</v>
      </c>
      <c r="Q48" s="265"/>
      <c r="R48" s="265"/>
      <c r="S48" s="265"/>
      <c r="T48" s="265"/>
      <c r="U48" s="997">
        <f t="shared" si="4"/>
        <v>108266.75</v>
      </c>
      <c r="V48" s="997">
        <f t="shared" si="5"/>
        <v>0</v>
      </c>
      <c r="W48" s="989">
        <f t="shared" si="6"/>
        <v>108266.75</v>
      </c>
      <c r="X48" s="40">
        <f t="shared" si="21"/>
        <v>58399.916666666657</v>
      </c>
      <c r="Y48" s="1230">
        <f t="shared" si="22"/>
        <v>91733.25</v>
      </c>
    </row>
    <row r="49" spans="1:25" x14ac:dyDescent="0.25">
      <c r="A49" s="138" t="s">
        <v>493</v>
      </c>
      <c r="B49" s="134"/>
      <c r="C49" s="52">
        <v>25000</v>
      </c>
      <c r="D49" s="720"/>
      <c r="E49" s="720">
        <f t="shared" si="2"/>
        <v>25000</v>
      </c>
      <c r="F49" s="720">
        <f t="shared" si="3"/>
        <v>18750</v>
      </c>
      <c r="G49" s="52">
        <f t="shared" ref="G49" si="23">E49/12</f>
        <v>2083.3333333333335</v>
      </c>
      <c r="H49" s="40">
        <f t="shared" si="18"/>
        <v>20833.333333333332</v>
      </c>
      <c r="I49" s="265"/>
      <c r="J49" s="997"/>
      <c r="K49" s="997"/>
      <c r="L49" s="997"/>
      <c r="M49" s="997"/>
      <c r="N49" s="265"/>
      <c r="O49" s="265"/>
      <c r="P49" s="265"/>
      <c r="Q49" s="265"/>
      <c r="R49" s="265"/>
      <c r="S49" s="265"/>
      <c r="T49" s="265"/>
      <c r="U49" s="997">
        <f t="shared" si="4"/>
        <v>0</v>
      </c>
      <c r="V49" s="997">
        <f t="shared" si="5"/>
        <v>0</v>
      </c>
      <c r="W49" s="989">
        <f t="shared" si="6"/>
        <v>0</v>
      </c>
      <c r="X49" s="40">
        <f t="shared" ref="X49" si="24">H49-W49</f>
        <v>20833.333333333332</v>
      </c>
      <c r="Y49" s="1230">
        <f t="shared" si="22"/>
        <v>25000</v>
      </c>
    </row>
    <row r="50" spans="1:25" x14ac:dyDescent="0.25">
      <c r="A50" s="126" t="s">
        <v>198</v>
      </c>
      <c r="B50" s="134" t="s">
        <v>81</v>
      </c>
      <c r="C50" s="52"/>
      <c r="D50" s="720"/>
      <c r="E50" s="720">
        <f t="shared" si="2"/>
        <v>0</v>
      </c>
      <c r="F50" s="720">
        <f t="shared" si="3"/>
        <v>0</v>
      </c>
      <c r="G50" s="52">
        <f t="shared" si="7"/>
        <v>0</v>
      </c>
      <c r="H50" s="40">
        <f t="shared" si="18"/>
        <v>0</v>
      </c>
      <c r="I50" s="188"/>
      <c r="J50" s="997"/>
      <c r="K50" s="997"/>
      <c r="L50" s="997"/>
      <c r="M50" s="997"/>
      <c r="N50" s="188"/>
      <c r="O50" s="188"/>
      <c r="P50" s="188"/>
      <c r="Q50" s="188"/>
      <c r="R50" s="188"/>
      <c r="S50" s="188"/>
      <c r="T50" s="188"/>
      <c r="U50" s="997">
        <f t="shared" si="4"/>
        <v>0</v>
      </c>
      <c r="V50" s="997">
        <f t="shared" si="5"/>
        <v>0</v>
      </c>
      <c r="W50" s="989">
        <f t="shared" si="6"/>
        <v>0</v>
      </c>
      <c r="X50" s="40">
        <f t="shared" si="19"/>
        <v>0</v>
      </c>
      <c r="Y50" s="1230">
        <f t="shared" si="22"/>
        <v>0</v>
      </c>
    </row>
    <row r="51" spans="1:25" x14ac:dyDescent="0.25">
      <c r="A51" s="138" t="s">
        <v>199</v>
      </c>
      <c r="B51" s="134"/>
      <c r="C51" s="52">
        <v>50000</v>
      </c>
      <c r="D51" s="720"/>
      <c r="E51" s="720">
        <f t="shared" si="2"/>
        <v>50000</v>
      </c>
      <c r="F51" s="720">
        <f t="shared" si="3"/>
        <v>37500</v>
      </c>
      <c r="G51" s="52">
        <f t="shared" si="7"/>
        <v>4166.666666666667</v>
      </c>
      <c r="H51" s="40">
        <f t="shared" si="18"/>
        <v>41666.666666666664</v>
      </c>
      <c r="I51" s="322"/>
      <c r="J51" s="997"/>
      <c r="K51" s="997"/>
      <c r="L51" s="997"/>
      <c r="M51" s="997"/>
      <c r="N51" s="188"/>
      <c r="O51" s="188">
        <v>350</v>
      </c>
      <c r="P51" s="188">
        <v>5310</v>
      </c>
      <c r="Q51" s="188"/>
      <c r="R51" s="188">
        <v>2710</v>
      </c>
      <c r="S51" s="188"/>
      <c r="T51" s="188">
        <v>2710</v>
      </c>
      <c r="U51" s="997">
        <f t="shared" si="4"/>
        <v>5660</v>
      </c>
      <c r="V51" s="997">
        <f t="shared" si="5"/>
        <v>2710</v>
      </c>
      <c r="W51" s="989">
        <f t="shared" si="6"/>
        <v>8370</v>
      </c>
      <c r="X51" s="40">
        <f t="shared" si="19"/>
        <v>33296.666666666664</v>
      </c>
      <c r="Y51" s="1230">
        <f t="shared" si="22"/>
        <v>41630</v>
      </c>
    </row>
    <row r="52" spans="1:25" x14ac:dyDescent="0.25">
      <c r="A52" s="350" t="s">
        <v>200</v>
      </c>
      <c r="B52" s="134" t="s">
        <v>83</v>
      </c>
      <c r="C52" s="52"/>
      <c r="D52" s="720"/>
      <c r="E52" s="720">
        <f t="shared" si="2"/>
        <v>0</v>
      </c>
      <c r="F52" s="720">
        <f t="shared" si="3"/>
        <v>0</v>
      </c>
      <c r="G52" s="52">
        <f t="shared" si="7"/>
        <v>0</v>
      </c>
      <c r="H52" s="40">
        <f t="shared" si="18"/>
        <v>0</v>
      </c>
      <c r="I52" s="188"/>
      <c r="J52" s="997"/>
      <c r="K52" s="997"/>
      <c r="L52" s="997"/>
      <c r="M52" s="997"/>
      <c r="N52" s="188"/>
      <c r="O52" s="188"/>
      <c r="P52" s="188"/>
      <c r="Q52" s="188"/>
      <c r="R52" s="188"/>
      <c r="S52" s="188"/>
      <c r="T52" s="188"/>
      <c r="U52" s="997">
        <f t="shared" si="4"/>
        <v>0</v>
      </c>
      <c r="V52" s="997">
        <f t="shared" si="5"/>
        <v>0</v>
      </c>
      <c r="W52" s="989">
        <f t="shared" si="6"/>
        <v>0</v>
      </c>
      <c r="X52" s="40">
        <f t="shared" ref="X52:X58" si="25">H52-W52</f>
        <v>0</v>
      </c>
      <c r="Y52" s="1230">
        <f t="shared" si="22"/>
        <v>0</v>
      </c>
    </row>
    <row r="53" spans="1:25" x14ac:dyDescent="0.25">
      <c r="A53" s="145" t="s">
        <v>201</v>
      </c>
      <c r="B53" s="134"/>
      <c r="C53" s="52">
        <v>150000</v>
      </c>
      <c r="D53" s="720"/>
      <c r="E53" s="720">
        <f t="shared" si="2"/>
        <v>150000</v>
      </c>
      <c r="F53" s="720">
        <f t="shared" si="3"/>
        <v>112500</v>
      </c>
      <c r="G53" s="52">
        <f t="shared" si="7"/>
        <v>12500</v>
      </c>
      <c r="H53" s="40">
        <f t="shared" si="18"/>
        <v>125000</v>
      </c>
      <c r="I53" s="188"/>
      <c r="J53" s="997">
        <v>6277.85</v>
      </c>
      <c r="K53" s="997">
        <f>2459.06+5095.5</f>
        <v>7554.5599999999995</v>
      </c>
      <c r="L53" s="997">
        <v>5791.92</v>
      </c>
      <c r="M53" s="997"/>
      <c r="N53" s="188">
        <v>1490</v>
      </c>
      <c r="O53" s="997">
        <v>44824.12</v>
      </c>
      <c r="P53" s="188">
        <v>5067.18</v>
      </c>
      <c r="Q53" s="188"/>
      <c r="R53" s="188"/>
      <c r="S53" s="188"/>
      <c r="T53" s="188"/>
      <c r="U53" s="997">
        <f t="shared" si="4"/>
        <v>71005.63</v>
      </c>
      <c r="V53" s="997">
        <f t="shared" si="5"/>
        <v>0</v>
      </c>
      <c r="W53" s="989">
        <f t="shared" si="6"/>
        <v>71005.63</v>
      </c>
      <c r="X53" s="40">
        <f t="shared" si="25"/>
        <v>53994.369999999995</v>
      </c>
      <c r="Y53" s="1230">
        <f t="shared" si="22"/>
        <v>78994.37</v>
      </c>
    </row>
    <row r="54" spans="1:25" x14ac:dyDescent="0.25">
      <c r="A54" s="120" t="s">
        <v>202</v>
      </c>
      <c r="B54" s="134"/>
      <c r="C54" s="52"/>
      <c r="D54" s="720"/>
      <c r="E54" s="720">
        <f t="shared" si="2"/>
        <v>0</v>
      </c>
      <c r="F54" s="720">
        <f t="shared" si="3"/>
        <v>0</v>
      </c>
      <c r="G54" s="52">
        <f t="shared" si="7"/>
        <v>0</v>
      </c>
      <c r="H54" s="40">
        <f t="shared" si="18"/>
        <v>0</v>
      </c>
      <c r="I54" s="188"/>
      <c r="J54" s="997"/>
      <c r="K54" s="997"/>
      <c r="L54" s="997"/>
      <c r="M54" s="997"/>
      <c r="N54" s="188"/>
      <c r="O54" s="188"/>
      <c r="P54" s="188"/>
      <c r="Q54" s="188"/>
      <c r="R54" s="188"/>
      <c r="S54" s="188"/>
      <c r="T54" s="188"/>
      <c r="U54" s="997">
        <f t="shared" si="4"/>
        <v>0</v>
      </c>
      <c r="V54" s="997">
        <f t="shared" si="5"/>
        <v>0</v>
      </c>
      <c r="W54" s="989">
        <f t="shared" si="6"/>
        <v>0</v>
      </c>
      <c r="X54" s="40">
        <f t="shared" si="25"/>
        <v>0</v>
      </c>
      <c r="Y54" s="1230">
        <f t="shared" si="22"/>
        <v>0</v>
      </c>
    </row>
    <row r="55" spans="1:25" x14ac:dyDescent="0.25">
      <c r="A55" s="145" t="s">
        <v>203</v>
      </c>
      <c r="B55" s="134"/>
      <c r="C55" s="52">
        <v>50000</v>
      </c>
      <c r="D55" s="720"/>
      <c r="E55" s="720">
        <f t="shared" si="2"/>
        <v>50000</v>
      </c>
      <c r="F55" s="720">
        <f t="shared" si="3"/>
        <v>37500</v>
      </c>
      <c r="G55" s="52">
        <f t="shared" si="7"/>
        <v>4166.666666666667</v>
      </c>
      <c r="H55" s="40">
        <f t="shared" si="18"/>
        <v>41666.666666666664</v>
      </c>
      <c r="I55" s="188"/>
      <c r="J55" s="997"/>
      <c r="K55" s="997"/>
      <c r="L55" s="997">
        <v>36000</v>
      </c>
      <c r="M55" s="997"/>
      <c r="N55" s="188"/>
      <c r="O55" s="997"/>
      <c r="P55" s="188"/>
      <c r="Q55" s="188"/>
      <c r="R55" s="188"/>
      <c r="S55" s="188"/>
      <c r="T55" s="188"/>
      <c r="U55" s="997">
        <f t="shared" si="4"/>
        <v>36000</v>
      </c>
      <c r="V55" s="997">
        <f t="shared" si="5"/>
        <v>0</v>
      </c>
      <c r="W55" s="989">
        <f t="shared" si="6"/>
        <v>36000</v>
      </c>
      <c r="X55" s="40">
        <f t="shared" si="25"/>
        <v>5666.6666666666642</v>
      </c>
      <c r="Y55" s="1230">
        <f t="shared" si="22"/>
        <v>14000</v>
      </c>
    </row>
    <row r="56" spans="1:25" x14ac:dyDescent="0.25">
      <c r="A56" s="126" t="s">
        <v>494</v>
      </c>
      <c r="B56" s="134" t="s">
        <v>93</v>
      </c>
      <c r="C56" s="52"/>
      <c r="D56" s="720"/>
      <c r="E56" s="720">
        <f t="shared" si="2"/>
        <v>0</v>
      </c>
      <c r="F56" s="720">
        <f t="shared" si="3"/>
        <v>0</v>
      </c>
      <c r="G56" s="52">
        <f t="shared" si="7"/>
        <v>0</v>
      </c>
      <c r="H56" s="40">
        <f t="shared" si="18"/>
        <v>0</v>
      </c>
      <c r="I56" s="188"/>
      <c r="J56" s="997"/>
      <c r="K56" s="997"/>
      <c r="L56" s="997"/>
      <c r="M56" s="997"/>
      <c r="N56" s="188"/>
      <c r="O56" s="997"/>
      <c r="P56" s="188"/>
      <c r="Q56" s="188"/>
      <c r="R56" s="188"/>
      <c r="S56" s="188"/>
      <c r="T56" s="188"/>
      <c r="U56" s="997">
        <f t="shared" si="4"/>
        <v>0</v>
      </c>
      <c r="V56" s="997">
        <f t="shared" si="5"/>
        <v>0</v>
      </c>
      <c r="W56" s="989">
        <f t="shared" si="6"/>
        <v>0</v>
      </c>
      <c r="X56" s="40">
        <f t="shared" si="25"/>
        <v>0</v>
      </c>
      <c r="Y56" s="1230">
        <f t="shared" si="22"/>
        <v>0</v>
      </c>
    </row>
    <row r="57" spans="1:25" x14ac:dyDescent="0.25">
      <c r="A57" s="145" t="s">
        <v>204</v>
      </c>
      <c r="B57" s="134"/>
      <c r="C57" s="52">
        <v>200000</v>
      </c>
      <c r="D57" s="720"/>
      <c r="E57" s="720">
        <f t="shared" si="2"/>
        <v>200000</v>
      </c>
      <c r="F57" s="720">
        <f t="shared" si="3"/>
        <v>150000</v>
      </c>
      <c r="G57" s="52">
        <f t="shared" si="7"/>
        <v>16666.666666666668</v>
      </c>
      <c r="H57" s="40">
        <f t="shared" si="18"/>
        <v>166666.66666666666</v>
      </c>
      <c r="I57" s="188"/>
      <c r="J57" s="997"/>
      <c r="K57" s="997"/>
      <c r="L57" s="997">
        <v>15600</v>
      </c>
      <c r="M57" s="997"/>
      <c r="N57" s="188"/>
      <c r="O57" s="997"/>
      <c r="P57" s="188"/>
      <c r="Q57" s="188"/>
      <c r="R57" s="188"/>
      <c r="S57" s="188"/>
      <c r="T57" s="188"/>
      <c r="U57" s="997">
        <f t="shared" si="4"/>
        <v>15600</v>
      </c>
      <c r="V57" s="997">
        <f t="shared" si="5"/>
        <v>0</v>
      </c>
      <c r="W57" s="989">
        <f t="shared" si="6"/>
        <v>15600</v>
      </c>
      <c r="X57" s="40">
        <f t="shared" si="25"/>
        <v>151066.66666666666</v>
      </c>
      <c r="Y57" s="1230">
        <f t="shared" si="22"/>
        <v>184400</v>
      </c>
    </row>
    <row r="58" spans="1:25" x14ac:dyDescent="0.25">
      <c r="A58" s="145" t="s">
        <v>205</v>
      </c>
      <c r="B58" s="134"/>
      <c r="C58" s="52">
        <v>20000</v>
      </c>
      <c r="D58" s="720"/>
      <c r="E58" s="720">
        <f t="shared" si="2"/>
        <v>20000</v>
      </c>
      <c r="F58" s="720">
        <f t="shared" si="3"/>
        <v>15000</v>
      </c>
      <c r="G58" s="52">
        <f t="shared" si="7"/>
        <v>1666.6666666666667</v>
      </c>
      <c r="H58" s="40">
        <f t="shared" si="18"/>
        <v>16666.666666666668</v>
      </c>
      <c r="I58" s="188"/>
      <c r="J58" s="997"/>
      <c r="K58" s="997"/>
      <c r="L58" s="997"/>
      <c r="M58" s="997"/>
      <c r="N58" s="188"/>
      <c r="O58" s="997">
        <v>3200</v>
      </c>
      <c r="P58" s="188"/>
      <c r="Q58" s="188">
        <v>6400</v>
      </c>
      <c r="R58" s="188"/>
      <c r="S58" s="188"/>
      <c r="T58" s="188"/>
      <c r="U58" s="997">
        <f t="shared" si="4"/>
        <v>9600</v>
      </c>
      <c r="V58" s="997">
        <f t="shared" si="5"/>
        <v>0</v>
      </c>
      <c r="W58" s="989">
        <f t="shared" si="6"/>
        <v>9600</v>
      </c>
      <c r="X58" s="40">
        <f t="shared" si="25"/>
        <v>7066.6666666666679</v>
      </c>
      <c r="Y58" s="1230">
        <f t="shared" si="22"/>
        <v>10400</v>
      </c>
    </row>
    <row r="59" spans="1:25" x14ac:dyDescent="0.25">
      <c r="A59" s="145" t="s">
        <v>495</v>
      </c>
      <c r="B59" s="134"/>
      <c r="C59" s="52">
        <v>80000</v>
      </c>
      <c r="D59" s="720"/>
      <c r="E59" s="720">
        <f t="shared" si="2"/>
        <v>80000</v>
      </c>
      <c r="F59" s="720">
        <f t="shared" si="3"/>
        <v>60000</v>
      </c>
      <c r="G59" s="52">
        <f t="shared" ref="G59" si="26">E59/12</f>
        <v>6666.666666666667</v>
      </c>
      <c r="H59" s="40">
        <f t="shared" si="18"/>
        <v>66666.666666666672</v>
      </c>
      <c r="I59" s="188"/>
      <c r="J59" s="997"/>
      <c r="K59" s="303">
        <v>2100</v>
      </c>
      <c r="L59" s="997"/>
      <c r="M59" s="997"/>
      <c r="N59" s="188"/>
      <c r="O59" s="997"/>
      <c r="P59" s="188"/>
      <c r="Q59" s="188">
        <v>3200</v>
      </c>
      <c r="R59" s="188"/>
      <c r="S59" s="188"/>
      <c r="T59" s="188"/>
      <c r="U59" s="997">
        <f t="shared" si="4"/>
        <v>5300</v>
      </c>
      <c r="V59" s="997">
        <f t="shared" si="5"/>
        <v>0</v>
      </c>
      <c r="W59" s="989">
        <f t="shared" si="6"/>
        <v>5300</v>
      </c>
      <c r="X59" s="40">
        <f t="shared" ref="X59" si="27">H59-W59</f>
        <v>61366.666666666672</v>
      </c>
      <c r="Y59" s="1230">
        <f t="shared" si="22"/>
        <v>74700</v>
      </c>
    </row>
    <row r="60" spans="1:25" x14ac:dyDescent="0.25">
      <c r="A60" s="349" t="s">
        <v>207</v>
      </c>
      <c r="B60" s="134"/>
      <c r="C60" s="52">
        <v>30000</v>
      </c>
      <c r="D60" s="720"/>
      <c r="E60" s="720">
        <f t="shared" si="2"/>
        <v>30000</v>
      </c>
      <c r="F60" s="720">
        <f t="shared" si="3"/>
        <v>22500</v>
      </c>
      <c r="G60" s="52">
        <f>E60/12</f>
        <v>2500</v>
      </c>
      <c r="H60" s="40">
        <f t="shared" si="18"/>
        <v>25000</v>
      </c>
      <c r="I60" s="188"/>
      <c r="J60" s="997"/>
      <c r="K60" s="997">
        <v>5200</v>
      </c>
      <c r="L60" s="997"/>
      <c r="M60" s="997"/>
      <c r="N60" s="188"/>
      <c r="O60" s="997"/>
      <c r="P60" s="188"/>
      <c r="Q60" s="188"/>
      <c r="R60" s="188"/>
      <c r="S60" s="188"/>
      <c r="T60" s="188"/>
      <c r="U60" s="997">
        <f t="shared" si="4"/>
        <v>5200</v>
      </c>
      <c r="V60" s="997">
        <f t="shared" si="5"/>
        <v>0</v>
      </c>
      <c r="W60" s="989">
        <f t="shared" si="6"/>
        <v>5200</v>
      </c>
      <c r="X60" s="40">
        <f>H60-W60</f>
        <v>19800</v>
      </c>
      <c r="Y60" s="1230">
        <f t="shared" si="22"/>
        <v>24800</v>
      </c>
    </row>
    <row r="61" spans="1:25" x14ac:dyDescent="0.25">
      <c r="A61" s="349" t="s">
        <v>208</v>
      </c>
      <c r="B61" s="134"/>
      <c r="C61" s="52">
        <v>100000</v>
      </c>
      <c r="D61" s="720"/>
      <c r="E61" s="720">
        <f t="shared" si="2"/>
        <v>100000</v>
      </c>
      <c r="F61" s="720">
        <f t="shared" si="3"/>
        <v>75000</v>
      </c>
      <c r="G61" s="52">
        <f>E61/12</f>
        <v>8333.3333333333339</v>
      </c>
      <c r="H61" s="40">
        <f t="shared" si="18"/>
        <v>83333.333333333328</v>
      </c>
      <c r="I61" s="188"/>
      <c r="J61" s="997"/>
      <c r="K61" s="997">
        <v>3500</v>
      </c>
      <c r="L61" s="997"/>
      <c r="M61" s="997"/>
      <c r="N61" s="188"/>
      <c r="O61" s="997">
        <v>3000</v>
      </c>
      <c r="P61" s="188"/>
      <c r="Q61" s="188">
        <v>13760</v>
      </c>
      <c r="R61" s="188"/>
      <c r="S61" s="188"/>
      <c r="T61" s="188"/>
      <c r="U61" s="997">
        <f t="shared" si="4"/>
        <v>20260</v>
      </c>
      <c r="V61" s="997">
        <f t="shared" si="5"/>
        <v>0</v>
      </c>
      <c r="W61" s="989">
        <f t="shared" si="6"/>
        <v>20260</v>
      </c>
      <c r="X61" s="40">
        <f>H61-W61</f>
        <v>63073.333333333328</v>
      </c>
      <c r="Y61" s="1230">
        <f t="shared" si="22"/>
        <v>79740</v>
      </c>
    </row>
    <row r="62" spans="1:25" x14ac:dyDescent="0.25">
      <c r="A62" s="349" t="s">
        <v>1389</v>
      </c>
      <c r="B62" s="134"/>
      <c r="C62" s="52">
        <v>50000</v>
      </c>
      <c r="D62" s="720"/>
      <c r="E62" s="720">
        <f t="shared" si="2"/>
        <v>50000</v>
      </c>
      <c r="F62" s="720">
        <f t="shared" si="3"/>
        <v>37500</v>
      </c>
      <c r="G62" s="52">
        <f>E62/12</f>
        <v>4166.666666666667</v>
      </c>
      <c r="H62" s="40">
        <f t="shared" si="18"/>
        <v>41666.666666666664</v>
      </c>
      <c r="I62" s="188"/>
      <c r="J62" s="997"/>
      <c r="K62" s="997"/>
      <c r="L62" s="997"/>
      <c r="M62" s="997"/>
      <c r="N62" s="188"/>
      <c r="O62" s="997"/>
      <c r="P62" s="188"/>
      <c r="Q62" s="188"/>
      <c r="R62" s="188"/>
      <c r="S62" s="188"/>
      <c r="T62" s="188"/>
      <c r="U62" s="997">
        <f t="shared" si="4"/>
        <v>0</v>
      </c>
      <c r="V62" s="997">
        <f t="shared" si="5"/>
        <v>0</v>
      </c>
      <c r="W62" s="989">
        <f t="shared" si="6"/>
        <v>0</v>
      </c>
      <c r="X62" s="40">
        <f>H62-W62</f>
        <v>41666.666666666664</v>
      </c>
      <c r="Y62" s="1230">
        <f t="shared" si="22"/>
        <v>50000</v>
      </c>
    </row>
    <row r="63" spans="1:25" x14ac:dyDescent="0.25">
      <c r="A63" s="349" t="s">
        <v>209</v>
      </c>
      <c r="B63" s="134"/>
      <c r="C63" s="52">
        <v>150000</v>
      </c>
      <c r="D63" s="720"/>
      <c r="E63" s="720">
        <f t="shared" si="2"/>
        <v>150000</v>
      </c>
      <c r="F63" s="720">
        <f t="shared" si="3"/>
        <v>112500</v>
      </c>
      <c r="G63" s="52">
        <f>E63/12</f>
        <v>12500</v>
      </c>
      <c r="H63" s="40">
        <f t="shared" si="18"/>
        <v>125000</v>
      </c>
      <c r="I63" s="188"/>
      <c r="J63" s="997">
        <v>4900</v>
      </c>
      <c r="K63" s="997">
        <v>9750</v>
      </c>
      <c r="L63" s="997"/>
      <c r="M63" s="997"/>
      <c r="N63" s="188"/>
      <c r="O63" s="997"/>
      <c r="P63" s="188"/>
      <c r="Q63" s="188">
        <v>9040</v>
      </c>
      <c r="R63" s="188"/>
      <c r="S63" s="188"/>
      <c r="T63" s="188"/>
      <c r="U63" s="997">
        <f t="shared" si="4"/>
        <v>23690</v>
      </c>
      <c r="V63" s="997">
        <f t="shared" si="5"/>
        <v>0</v>
      </c>
      <c r="W63" s="989">
        <f t="shared" si="6"/>
        <v>23690</v>
      </c>
      <c r="X63" s="40">
        <f>H63-W63</f>
        <v>101310</v>
      </c>
      <c r="Y63" s="1230">
        <f t="shared" si="22"/>
        <v>126310</v>
      </c>
    </row>
    <row r="64" spans="1:25" x14ac:dyDescent="0.25">
      <c r="A64" s="141" t="s">
        <v>496</v>
      </c>
      <c r="B64" s="134"/>
      <c r="C64" s="52">
        <v>20000</v>
      </c>
      <c r="D64" s="720"/>
      <c r="E64" s="720">
        <f t="shared" si="2"/>
        <v>20000</v>
      </c>
      <c r="F64" s="720">
        <f t="shared" si="3"/>
        <v>15000</v>
      </c>
      <c r="G64" s="52">
        <f>E64/12</f>
        <v>1666.6666666666667</v>
      </c>
      <c r="H64" s="40">
        <f t="shared" si="18"/>
        <v>16666.666666666668</v>
      </c>
      <c r="I64" s="188"/>
      <c r="J64" s="997"/>
      <c r="K64" s="997"/>
      <c r="L64" s="997"/>
      <c r="M64" s="997"/>
      <c r="N64" s="188"/>
      <c r="O64" s="188"/>
      <c r="P64" s="188"/>
      <c r="Q64" s="188"/>
      <c r="R64" s="188"/>
      <c r="S64" s="188"/>
      <c r="T64" s="188"/>
      <c r="U64" s="997">
        <f t="shared" si="4"/>
        <v>0</v>
      </c>
      <c r="V64" s="997">
        <f t="shared" si="5"/>
        <v>0</v>
      </c>
      <c r="W64" s="989">
        <f t="shared" si="6"/>
        <v>0</v>
      </c>
      <c r="X64" s="40">
        <f>H64-W64</f>
        <v>16666.666666666668</v>
      </c>
      <c r="Y64" s="1230">
        <f t="shared" si="22"/>
        <v>20000</v>
      </c>
    </row>
    <row r="65" spans="1:25" x14ac:dyDescent="0.25">
      <c r="A65" s="146" t="s">
        <v>108</v>
      </c>
      <c r="B65" s="147"/>
      <c r="C65" s="148">
        <f t="shared" ref="C65:Y65" si="28">SUM(C7:C64)</f>
        <v>2956000</v>
      </c>
      <c r="D65" s="148">
        <f>SUM(D7:D64)</f>
        <v>33683.370000000003</v>
      </c>
      <c r="E65" s="148">
        <f t="shared" si="28"/>
        <v>2989683.37</v>
      </c>
      <c r="F65" s="148">
        <f t="shared" si="28"/>
        <v>2242262.5274999999</v>
      </c>
      <c r="G65" s="148">
        <f t="shared" si="28"/>
        <v>249140.28083333329</v>
      </c>
      <c r="H65" s="148">
        <f t="shared" si="28"/>
        <v>2491402.8083333331</v>
      </c>
      <c r="I65" s="148">
        <f t="shared" si="28"/>
        <v>7188</v>
      </c>
      <c r="J65" s="148">
        <f t="shared" si="28"/>
        <v>37118.699999999997</v>
      </c>
      <c r="K65" s="148">
        <f t="shared" si="28"/>
        <v>129227.06</v>
      </c>
      <c r="L65" s="148">
        <f t="shared" si="28"/>
        <v>76751.92</v>
      </c>
      <c r="M65" s="148">
        <f t="shared" si="28"/>
        <v>38175.01</v>
      </c>
      <c r="N65" s="148">
        <f t="shared" si="28"/>
        <v>1490</v>
      </c>
      <c r="O65" s="148">
        <f t="shared" si="28"/>
        <v>153903.09</v>
      </c>
      <c r="P65" s="148">
        <f t="shared" si="28"/>
        <v>193983.18</v>
      </c>
      <c r="Q65" s="148">
        <f t="shared" si="28"/>
        <v>91752.85</v>
      </c>
      <c r="R65" s="148">
        <f t="shared" si="28"/>
        <v>166080</v>
      </c>
      <c r="S65" s="148">
        <f t="shared" si="28"/>
        <v>0</v>
      </c>
      <c r="T65" s="148">
        <f t="shared" si="28"/>
        <v>98880</v>
      </c>
      <c r="U65" s="148">
        <f t="shared" si="28"/>
        <v>729589.80999999994</v>
      </c>
      <c r="V65" s="148">
        <f t="shared" si="28"/>
        <v>166080</v>
      </c>
      <c r="W65" s="148">
        <f t="shared" si="28"/>
        <v>895669.80999999994</v>
      </c>
      <c r="X65" s="148">
        <f t="shared" si="28"/>
        <v>1595732.9983333338</v>
      </c>
      <c r="Y65" s="1311">
        <f t="shared" si="28"/>
        <v>2094013.56</v>
      </c>
    </row>
    <row r="66" spans="1:25" x14ac:dyDescent="0.25">
      <c r="A66" s="146"/>
      <c r="B66" s="147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997">
        <f t="shared" ref="U66" si="29">I66+J66+K66+L66+M66</f>
        <v>0</v>
      </c>
      <c r="V66" s="997">
        <f t="shared" ref="V66" si="30">N66</f>
        <v>0</v>
      </c>
      <c r="W66" s="148"/>
      <c r="X66" s="148"/>
      <c r="Y66" s="1229"/>
    </row>
    <row r="67" spans="1:25" s="995" customFormat="1" x14ac:dyDescent="0.25">
      <c r="A67" s="126" t="s">
        <v>210</v>
      </c>
      <c r="B67" s="137"/>
      <c r="C67" s="351">
        <v>2858782.5</v>
      </c>
      <c r="D67" s="351">
        <v>14435.73</v>
      </c>
      <c r="E67" s="720">
        <f t="shared" ref="E67" si="31">SUM(C67:D67)</f>
        <v>2873218.23</v>
      </c>
      <c r="F67" s="720">
        <f t="shared" ref="F67" si="32">E67/12*7</f>
        <v>1676043.9675</v>
      </c>
      <c r="G67" s="726">
        <f>E67/12</f>
        <v>239434.85250000001</v>
      </c>
      <c r="H67" s="990">
        <f t="shared" ref="H67" si="33">F67+G67</f>
        <v>1915478.82</v>
      </c>
      <c r="I67" s="351">
        <v>0</v>
      </c>
      <c r="J67" s="351">
        <f t="shared" ref="J67" si="34">I67</f>
        <v>0</v>
      </c>
      <c r="K67" s="351">
        <v>678000</v>
      </c>
      <c r="L67" s="351">
        <v>372440</v>
      </c>
      <c r="M67" s="351"/>
      <c r="N67" s="351"/>
      <c r="O67" s="351">
        <v>56844</v>
      </c>
      <c r="P67" s="351"/>
      <c r="Q67" s="351">
        <f>3695+1331</f>
        <v>5026</v>
      </c>
      <c r="R67" s="351">
        <v>19500</v>
      </c>
      <c r="S67" s="351"/>
      <c r="T67" s="351">
        <v>19500</v>
      </c>
      <c r="U67" s="997">
        <f t="shared" ref="U67:U79" si="35">I67+J67+K67+L67+M67+N67+O67+P67+Q67</f>
        <v>1112310</v>
      </c>
      <c r="V67" s="997">
        <f t="shared" ref="V67:V79" si="36">R67</f>
        <v>19500</v>
      </c>
      <c r="W67" s="351">
        <f>U67+V67</f>
        <v>1131810</v>
      </c>
      <c r="X67" s="990">
        <f>H67-W67</f>
        <v>783668.82000000007</v>
      </c>
      <c r="Y67" s="1312">
        <f>E67-W67</f>
        <v>1741408.23</v>
      </c>
    </row>
    <row r="68" spans="1:25" s="712" customFormat="1" x14ac:dyDescent="0.25">
      <c r="A68" s="126" t="s">
        <v>319</v>
      </c>
      <c r="B68" s="114"/>
      <c r="C68" s="351"/>
      <c r="D68" s="351"/>
      <c r="E68" s="351"/>
      <c r="F68" s="351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51"/>
      <c r="R68" s="351"/>
      <c r="S68" s="351"/>
      <c r="T68" s="351"/>
      <c r="U68" s="997">
        <f t="shared" si="35"/>
        <v>0</v>
      </c>
      <c r="V68" s="997">
        <f t="shared" si="36"/>
        <v>0</v>
      </c>
      <c r="W68" s="351"/>
      <c r="X68" s="732"/>
      <c r="Y68" s="1312"/>
    </row>
    <row r="69" spans="1:25" x14ac:dyDescent="0.25">
      <c r="A69" s="149" t="s">
        <v>211</v>
      </c>
      <c r="B69" s="150"/>
      <c r="C69" s="332"/>
      <c r="D69" s="332"/>
      <c r="E69" s="332"/>
      <c r="F69" s="332"/>
      <c r="G69" s="332"/>
      <c r="H69" s="109"/>
      <c r="I69" s="188"/>
      <c r="J69" s="997"/>
      <c r="K69" s="997"/>
      <c r="L69" s="997"/>
      <c r="M69" s="997"/>
      <c r="N69" s="188"/>
      <c r="O69" s="188"/>
      <c r="P69" s="188"/>
      <c r="Q69" s="188"/>
      <c r="R69" s="188"/>
      <c r="S69" s="188"/>
      <c r="T69" s="188"/>
      <c r="U69" s="997">
        <f t="shared" si="35"/>
        <v>0</v>
      </c>
      <c r="V69" s="997">
        <f t="shared" si="36"/>
        <v>0</v>
      </c>
      <c r="W69" s="989">
        <f t="shared" ref="W69:W79" si="37">U69+V69</f>
        <v>0</v>
      </c>
      <c r="X69" s="40">
        <f>H69-W69</f>
        <v>0</v>
      </c>
      <c r="Y69" s="1230">
        <f>E69-W69</f>
        <v>0</v>
      </c>
    </row>
    <row r="70" spans="1:25" x14ac:dyDescent="0.25">
      <c r="A70" s="356" t="s">
        <v>241</v>
      </c>
      <c r="B70" s="114" t="s">
        <v>116</v>
      </c>
      <c r="C70" s="207">
        <v>0</v>
      </c>
      <c r="D70" s="998"/>
      <c r="E70" s="720">
        <f t="shared" ref="E70:E79" si="38">SUM(C70:D70)</f>
        <v>0</v>
      </c>
      <c r="F70" s="207"/>
      <c r="G70" s="207">
        <f>C70</f>
        <v>0</v>
      </c>
      <c r="H70" s="40">
        <f>E70</f>
        <v>0</v>
      </c>
      <c r="I70" s="188"/>
      <c r="J70" s="997"/>
      <c r="K70" s="997"/>
      <c r="L70" s="997"/>
      <c r="M70" s="997"/>
      <c r="N70" s="188"/>
      <c r="O70" s="188"/>
      <c r="P70" s="188"/>
      <c r="Q70" s="188"/>
      <c r="R70" s="188"/>
      <c r="S70" s="188"/>
      <c r="T70" s="188"/>
      <c r="U70" s="997">
        <f t="shared" si="35"/>
        <v>0</v>
      </c>
      <c r="V70" s="997">
        <f t="shared" si="36"/>
        <v>0</v>
      </c>
      <c r="W70" s="989">
        <f t="shared" si="37"/>
        <v>0</v>
      </c>
      <c r="X70" s="40">
        <f>H70-W70</f>
        <v>0</v>
      </c>
      <c r="Y70" s="1230">
        <f>E70-W70</f>
        <v>0</v>
      </c>
    </row>
    <row r="71" spans="1:25" ht="25.5" x14ac:dyDescent="0.25">
      <c r="A71" s="357" t="s">
        <v>497</v>
      </c>
      <c r="B71" s="114"/>
      <c r="C71" s="144">
        <v>200000</v>
      </c>
      <c r="D71" s="144"/>
      <c r="E71" s="720">
        <f t="shared" si="38"/>
        <v>200000</v>
      </c>
      <c r="F71" s="144">
        <f>E71</f>
        <v>200000</v>
      </c>
      <c r="G71" s="144">
        <f t="shared" ref="G71:G74" si="39">C71</f>
        <v>200000</v>
      </c>
      <c r="H71" s="327">
        <f>E71</f>
        <v>200000</v>
      </c>
      <c r="I71" s="188"/>
      <c r="J71" s="997"/>
      <c r="K71" s="997"/>
      <c r="L71" s="997"/>
      <c r="M71" s="997"/>
      <c r="N71" s="188"/>
      <c r="O71" s="188"/>
      <c r="P71" s="188"/>
      <c r="Q71" s="188"/>
      <c r="R71" s="188"/>
      <c r="S71" s="188"/>
      <c r="T71" s="188"/>
      <c r="U71" s="997">
        <f t="shared" si="35"/>
        <v>0</v>
      </c>
      <c r="V71" s="997">
        <f t="shared" si="36"/>
        <v>0</v>
      </c>
      <c r="W71" s="989">
        <f t="shared" si="37"/>
        <v>0</v>
      </c>
      <c r="X71" s="40">
        <f t="shared" ref="X71:X74" si="40">H71-W71</f>
        <v>200000</v>
      </c>
      <c r="Y71" s="1230">
        <f>E71-W71</f>
        <v>200000</v>
      </c>
    </row>
    <row r="72" spans="1:25" x14ac:dyDescent="0.25">
      <c r="A72" s="356" t="s">
        <v>325</v>
      </c>
      <c r="B72" s="114"/>
      <c r="C72" s="207"/>
      <c r="D72" s="998"/>
      <c r="E72" s="720">
        <f t="shared" si="38"/>
        <v>0</v>
      </c>
      <c r="F72" s="144">
        <f t="shared" ref="F72:F79" si="41">E72</f>
        <v>0</v>
      </c>
      <c r="G72" s="207"/>
      <c r="H72" s="40"/>
      <c r="I72" s="188"/>
      <c r="J72" s="997"/>
      <c r="K72" s="997"/>
      <c r="L72" s="997"/>
      <c r="M72" s="997"/>
      <c r="N72" s="188"/>
      <c r="O72" s="188"/>
      <c r="P72" s="188"/>
      <c r="Q72" s="188"/>
      <c r="R72" s="188"/>
      <c r="S72" s="188"/>
      <c r="T72" s="188"/>
      <c r="U72" s="997">
        <f t="shared" si="35"/>
        <v>0</v>
      </c>
      <c r="V72" s="997">
        <f t="shared" si="36"/>
        <v>0</v>
      </c>
      <c r="W72" s="989">
        <f t="shared" si="37"/>
        <v>0</v>
      </c>
      <c r="X72" s="40"/>
      <c r="Y72" s="1230"/>
    </row>
    <row r="73" spans="1:25" x14ac:dyDescent="0.25">
      <c r="A73" s="357" t="s">
        <v>498</v>
      </c>
      <c r="B73" s="114" t="s">
        <v>111</v>
      </c>
      <c r="C73" s="207">
        <v>20000</v>
      </c>
      <c r="D73" s="998"/>
      <c r="E73" s="720">
        <f t="shared" si="38"/>
        <v>20000</v>
      </c>
      <c r="F73" s="144">
        <f t="shared" si="41"/>
        <v>20000</v>
      </c>
      <c r="G73" s="207">
        <f t="shared" si="39"/>
        <v>20000</v>
      </c>
      <c r="H73" s="40">
        <f>E73</f>
        <v>20000</v>
      </c>
      <c r="I73" s="188"/>
      <c r="J73" s="997"/>
      <c r="K73" s="997"/>
      <c r="L73" s="997"/>
      <c r="M73" s="997"/>
      <c r="N73" s="188"/>
      <c r="O73" s="188"/>
      <c r="P73" s="188"/>
      <c r="Q73" s="188"/>
      <c r="R73" s="188"/>
      <c r="S73" s="188"/>
      <c r="T73" s="188"/>
      <c r="U73" s="997">
        <f t="shared" si="35"/>
        <v>0</v>
      </c>
      <c r="V73" s="997">
        <f t="shared" si="36"/>
        <v>0</v>
      </c>
      <c r="W73" s="989">
        <f t="shared" si="37"/>
        <v>0</v>
      </c>
      <c r="X73" s="40">
        <f t="shared" si="40"/>
        <v>20000</v>
      </c>
      <c r="Y73" s="1230">
        <f>E73-W73</f>
        <v>20000</v>
      </c>
    </row>
    <row r="74" spans="1:25" ht="25.5" customHeight="1" x14ac:dyDescent="0.25">
      <c r="A74" s="356" t="s">
        <v>390</v>
      </c>
      <c r="B74" s="114" t="s">
        <v>113</v>
      </c>
      <c r="C74" s="207"/>
      <c r="D74" s="998"/>
      <c r="E74" s="720">
        <f t="shared" si="38"/>
        <v>0</v>
      </c>
      <c r="F74" s="144">
        <f t="shared" si="41"/>
        <v>0</v>
      </c>
      <c r="G74" s="207">
        <f t="shared" si="39"/>
        <v>0</v>
      </c>
      <c r="H74" s="40">
        <f>E74</f>
        <v>0</v>
      </c>
      <c r="I74" s="188"/>
      <c r="J74" s="997"/>
      <c r="K74" s="997"/>
      <c r="L74" s="997"/>
      <c r="M74" s="997"/>
      <c r="N74" s="188"/>
      <c r="O74" s="188"/>
      <c r="P74" s="188"/>
      <c r="Q74" s="188"/>
      <c r="R74" s="188"/>
      <c r="S74" s="188"/>
      <c r="T74" s="188"/>
      <c r="U74" s="997">
        <f t="shared" si="35"/>
        <v>0</v>
      </c>
      <c r="V74" s="997">
        <f t="shared" si="36"/>
        <v>0</v>
      </c>
      <c r="W74" s="989">
        <f t="shared" si="37"/>
        <v>0</v>
      </c>
      <c r="X74" s="40">
        <f t="shared" si="40"/>
        <v>0</v>
      </c>
      <c r="Y74" s="1230">
        <f>E74-W74</f>
        <v>0</v>
      </c>
    </row>
    <row r="75" spans="1:25" x14ac:dyDescent="0.25">
      <c r="A75" s="357" t="s">
        <v>499</v>
      </c>
      <c r="B75" s="114"/>
      <c r="C75" s="207">
        <v>70000</v>
      </c>
      <c r="D75" s="998"/>
      <c r="E75" s="720">
        <f t="shared" si="38"/>
        <v>70000</v>
      </c>
      <c r="F75" s="144">
        <f t="shared" si="41"/>
        <v>70000</v>
      </c>
      <c r="G75" s="207">
        <f t="shared" ref="G75:G77" si="42">C75</f>
        <v>70000</v>
      </c>
      <c r="H75" s="40">
        <f>E75</f>
        <v>70000</v>
      </c>
      <c r="I75" s="188"/>
      <c r="J75" s="997"/>
      <c r="K75" s="997"/>
      <c r="L75" s="997"/>
      <c r="M75" s="997"/>
      <c r="N75" s="188"/>
      <c r="O75" s="188"/>
      <c r="P75" s="188"/>
      <c r="Q75" s="188"/>
      <c r="R75" s="188"/>
      <c r="S75" s="188"/>
      <c r="T75" s="188"/>
      <c r="U75" s="997">
        <f t="shared" si="35"/>
        <v>0</v>
      </c>
      <c r="V75" s="997">
        <f t="shared" si="36"/>
        <v>0</v>
      </c>
      <c r="W75" s="989">
        <f t="shared" si="37"/>
        <v>0</v>
      </c>
      <c r="X75" s="40">
        <f t="shared" ref="X75:X77" si="43">H75-W75</f>
        <v>70000</v>
      </c>
      <c r="Y75" s="1230">
        <f>E75-W75</f>
        <v>70000</v>
      </c>
    </row>
    <row r="76" spans="1:25" x14ac:dyDescent="0.25">
      <c r="A76" s="356" t="s">
        <v>500</v>
      </c>
      <c r="B76" s="114" t="s">
        <v>501</v>
      </c>
      <c r="C76" s="207"/>
      <c r="D76" s="998"/>
      <c r="E76" s="720">
        <f t="shared" si="38"/>
        <v>0</v>
      </c>
      <c r="F76" s="144">
        <f t="shared" si="41"/>
        <v>0</v>
      </c>
      <c r="G76" s="207"/>
      <c r="H76" s="40"/>
      <c r="I76" s="188"/>
      <c r="J76" s="997"/>
      <c r="K76" s="997"/>
      <c r="L76" s="997"/>
      <c r="M76" s="997"/>
      <c r="N76" s="188"/>
      <c r="O76" s="188"/>
      <c r="P76" s="188"/>
      <c r="Q76" s="188"/>
      <c r="R76" s="188"/>
      <c r="S76" s="188"/>
      <c r="T76" s="188"/>
      <c r="U76" s="997">
        <f t="shared" si="35"/>
        <v>0</v>
      </c>
      <c r="V76" s="997">
        <f t="shared" si="36"/>
        <v>0</v>
      </c>
      <c r="W76" s="989">
        <f t="shared" si="37"/>
        <v>0</v>
      </c>
      <c r="X76" s="40"/>
      <c r="Y76" s="1230"/>
    </row>
    <row r="77" spans="1:25" x14ac:dyDescent="0.25">
      <c r="A77" s="357" t="s">
        <v>502</v>
      </c>
      <c r="C77" s="207">
        <v>24492.5</v>
      </c>
      <c r="D77" s="998"/>
      <c r="E77" s="720">
        <f t="shared" si="38"/>
        <v>24492.5</v>
      </c>
      <c r="F77" s="144">
        <f t="shared" si="41"/>
        <v>24492.5</v>
      </c>
      <c r="G77" s="207">
        <f t="shared" si="42"/>
        <v>24492.5</v>
      </c>
      <c r="H77" s="40">
        <f>E77</f>
        <v>24492.5</v>
      </c>
      <c r="I77" s="188"/>
      <c r="J77" s="997"/>
      <c r="K77" s="997"/>
      <c r="L77" s="997"/>
      <c r="M77" s="997"/>
      <c r="N77" s="188"/>
      <c r="O77" s="188"/>
      <c r="P77" s="937">
        <v>23400</v>
      </c>
      <c r="Q77" s="188"/>
      <c r="R77" s="188"/>
      <c r="S77" s="188"/>
      <c r="T77" s="188"/>
      <c r="U77" s="997">
        <f t="shared" si="35"/>
        <v>23400</v>
      </c>
      <c r="V77" s="997">
        <f t="shared" si="36"/>
        <v>0</v>
      </c>
      <c r="W77" s="989">
        <f t="shared" si="37"/>
        <v>23400</v>
      </c>
      <c r="X77" s="40">
        <f t="shared" si="43"/>
        <v>1092.5</v>
      </c>
      <c r="Y77" s="1230">
        <f>E77-W77</f>
        <v>1092.5</v>
      </c>
    </row>
    <row r="78" spans="1:25" x14ac:dyDescent="0.25">
      <c r="A78" s="356" t="s">
        <v>503</v>
      </c>
      <c r="B78" s="114" t="s">
        <v>275</v>
      </c>
      <c r="C78" s="207"/>
      <c r="D78" s="998"/>
      <c r="E78" s="720">
        <f t="shared" si="38"/>
        <v>0</v>
      </c>
      <c r="F78" s="144">
        <f t="shared" si="41"/>
        <v>0</v>
      </c>
      <c r="G78" s="207"/>
      <c r="H78" s="40"/>
      <c r="I78" s="188"/>
      <c r="J78" s="997"/>
      <c r="K78" s="997"/>
      <c r="L78" s="997"/>
      <c r="M78" s="997"/>
      <c r="N78" s="188"/>
      <c r="O78" s="188"/>
      <c r="P78" s="188"/>
      <c r="Q78" s="188"/>
      <c r="R78" s="188"/>
      <c r="S78" s="188"/>
      <c r="T78" s="188"/>
      <c r="U78" s="997">
        <f t="shared" si="35"/>
        <v>0</v>
      </c>
      <c r="V78" s="997">
        <f t="shared" si="36"/>
        <v>0</v>
      </c>
      <c r="W78" s="989">
        <f t="shared" si="37"/>
        <v>0</v>
      </c>
      <c r="X78" s="40"/>
      <c r="Y78" s="1230"/>
    </row>
    <row r="79" spans="1:25" ht="25.5" x14ac:dyDescent="0.25">
      <c r="A79" s="357" t="s">
        <v>504</v>
      </c>
      <c r="B79" s="114"/>
      <c r="C79" s="207">
        <v>3400000</v>
      </c>
      <c r="D79" s="998"/>
      <c r="E79" s="720">
        <f t="shared" si="38"/>
        <v>3400000</v>
      </c>
      <c r="F79" s="144">
        <f t="shared" si="41"/>
        <v>3400000</v>
      </c>
      <c r="G79" s="207">
        <f t="shared" ref="G79" si="44">C79</f>
        <v>3400000</v>
      </c>
      <c r="H79" s="40">
        <f>E79</f>
        <v>3400000</v>
      </c>
      <c r="I79" s="188"/>
      <c r="J79" s="997"/>
      <c r="K79" s="997"/>
      <c r="L79" s="997"/>
      <c r="M79" s="997"/>
      <c r="N79" s="188"/>
      <c r="O79" s="997">
        <v>3400000</v>
      </c>
      <c r="P79" s="188"/>
      <c r="Q79" s="188"/>
      <c r="R79" s="188"/>
      <c r="S79" s="188"/>
      <c r="T79" s="188"/>
      <c r="U79" s="997">
        <f t="shared" si="35"/>
        <v>3400000</v>
      </c>
      <c r="V79" s="997">
        <f t="shared" si="36"/>
        <v>0</v>
      </c>
      <c r="W79" s="989">
        <f t="shared" si="37"/>
        <v>3400000</v>
      </c>
      <c r="X79" s="40">
        <f t="shared" ref="X79" si="45">H79-W79</f>
        <v>0</v>
      </c>
      <c r="Y79" s="1230">
        <f>E79-W79</f>
        <v>0</v>
      </c>
    </row>
    <row r="80" spans="1:25" s="995" customFormat="1" x14ac:dyDescent="0.25">
      <c r="A80" s="982" t="s">
        <v>332</v>
      </c>
      <c r="B80" s="137"/>
      <c r="C80" s="1000">
        <f>SUM(C70:C79)</f>
        <v>3714492.5</v>
      </c>
      <c r="D80" s="1000">
        <f>SUM(D70:D79)</f>
        <v>0</v>
      </c>
      <c r="E80" s="1000">
        <f t="shared" ref="E80:Y80" si="46">SUM(E70:E79)</f>
        <v>3714492.5</v>
      </c>
      <c r="F80" s="1000">
        <f t="shared" si="46"/>
        <v>3714492.5</v>
      </c>
      <c r="G80" s="1000">
        <f t="shared" si="46"/>
        <v>3714492.5</v>
      </c>
      <c r="H80" s="1000">
        <f t="shared" si="46"/>
        <v>3714492.5</v>
      </c>
      <c r="I80" s="1000">
        <f t="shared" si="46"/>
        <v>0</v>
      </c>
      <c r="J80" s="1000">
        <f t="shared" si="46"/>
        <v>0</v>
      </c>
      <c r="K80" s="1000">
        <f t="shared" si="46"/>
        <v>0</v>
      </c>
      <c r="L80" s="1000">
        <f t="shared" si="46"/>
        <v>0</v>
      </c>
      <c r="M80" s="1000">
        <f t="shared" si="46"/>
        <v>0</v>
      </c>
      <c r="N80" s="1000">
        <f t="shared" si="46"/>
        <v>0</v>
      </c>
      <c r="O80" s="1000">
        <f t="shared" si="46"/>
        <v>3400000</v>
      </c>
      <c r="P80" s="1000">
        <f t="shared" si="46"/>
        <v>23400</v>
      </c>
      <c r="Q80" s="1000">
        <f t="shared" si="46"/>
        <v>0</v>
      </c>
      <c r="R80" s="1000">
        <f t="shared" si="46"/>
        <v>0</v>
      </c>
      <c r="S80" s="1000">
        <f t="shared" si="46"/>
        <v>0</v>
      </c>
      <c r="T80" s="1000">
        <f t="shared" si="46"/>
        <v>0</v>
      </c>
      <c r="U80" s="1000">
        <f>SUM(U70:U79)</f>
        <v>3423400</v>
      </c>
      <c r="V80" s="1000">
        <f t="shared" si="46"/>
        <v>0</v>
      </c>
      <c r="W80" s="1000">
        <f t="shared" si="46"/>
        <v>3423400</v>
      </c>
      <c r="X80" s="1000">
        <f t="shared" si="46"/>
        <v>291092.5</v>
      </c>
      <c r="Y80" s="1313">
        <f t="shared" si="46"/>
        <v>291092.5</v>
      </c>
    </row>
    <row r="81" spans="1:25" s="712" customFormat="1" x14ac:dyDescent="0.25">
      <c r="A81" s="354" t="s">
        <v>320</v>
      </c>
      <c r="B81" s="114"/>
      <c r="C81" s="207"/>
      <c r="D81" s="998"/>
      <c r="E81" s="207"/>
      <c r="F81" s="207"/>
      <c r="G81" s="207"/>
      <c r="H81" s="716"/>
      <c r="I81" s="937"/>
      <c r="J81" s="997"/>
      <c r="K81" s="997"/>
      <c r="L81" s="997"/>
      <c r="M81" s="997"/>
      <c r="N81" s="937"/>
      <c r="O81" s="937"/>
      <c r="P81" s="937"/>
      <c r="Q81" s="937"/>
      <c r="R81" s="937"/>
      <c r="S81" s="937"/>
      <c r="T81" s="937"/>
      <c r="U81" s="997"/>
      <c r="V81" s="997"/>
      <c r="W81" s="732"/>
      <c r="X81" s="716"/>
      <c r="Y81" s="1230"/>
    </row>
    <row r="82" spans="1:25" s="712" customFormat="1" x14ac:dyDescent="0.25">
      <c r="A82" s="983" t="s">
        <v>211</v>
      </c>
      <c r="B82" s="114"/>
      <c r="C82" s="207"/>
      <c r="D82" s="998"/>
      <c r="E82" s="207"/>
      <c r="F82" s="207"/>
      <c r="G82" s="207"/>
      <c r="H82" s="716"/>
      <c r="I82" s="937"/>
      <c r="J82" s="997"/>
      <c r="K82" s="997"/>
      <c r="L82" s="997"/>
      <c r="M82" s="997"/>
      <c r="N82" s="937"/>
      <c r="O82" s="937"/>
      <c r="P82" s="937"/>
      <c r="Q82" s="937"/>
      <c r="R82" s="937"/>
      <c r="S82" s="937"/>
      <c r="T82" s="937"/>
      <c r="U82" s="997">
        <f t="shared" ref="U82:U100" si="47">I82+J82+K82+L82+M82+N82+O82+P82+Q82</f>
        <v>0</v>
      </c>
      <c r="V82" s="997">
        <f t="shared" ref="V82:V100" si="48">R82</f>
        <v>0</v>
      </c>
      <c r="W82" s="989">
        <f t="shared" ref="W82:W100" si="49">U82+V82</f>
        <v>0</v>
      </c>
      <c r="X82" s="716"/>
      <c r="Y82" s="1230"/>
    </row>
    <row r="83" spans="1:25" s="712" customFormat="1" x14ac:dyDescent="0.25">
      <c r="A83" s="986" t="s">
        <v>1166</v>
      </c>
      <c r="B83" s="984"/>
      <c r="C83" s="991">
        <v>37215</v>
      </c>
      <c r="D83" s="991"/>
      <c r="E83" s="720">
        <f t="shared" ref="E83:E100" si="50">SUM(C83:D83)</f>
        <v>37215</v>
      </c>
      <c r="F83" s="144">
        <f t="shared" ref="F83:F100" si="51">E83</f>
        <v>37215</v>
      </c>
      <c r="G83" s="998">
        <f t="shared" ref="G83:G100" si="52">C83</f>
        <v>37215</v>
      </c>
      <c r="H83" s="989">
        <f t="shared" ref="H83:H100" si="53">E83</f>
        <v>37215</v>
      </c>
      <c r="I83" s="937"/>
      <c r="J83" s="997"/>
      <c r="K83" s="997"/>
      <c r="L83" s="997"/>
      <c r="M83" s="997"/>
      <c r="N83" s="937"/>
      <c r="O83" s="937"/>
      <c r="Q83" s="937"/>
      <c r="R83" s="937"/>
      <c r="S83" s="937"/>
      <c r="T83" s="937"/>
      <c r="U83" s="997">
        <f t="shared" si="47"/>
        <v>0</v>
      </c>
      <c r="V83" s="997">
        <f t="shared" si="48"/>
        <v>0</v>
      </c>
      <c r="W83" s="989">
        <f t="shared" si="49"/>
        <v>0</v>
      </c>
      <c r="X83" s="989">
        <f t="shared" ref="X83:X100" si="54">H83-W83</f>
        <v>37215</v>
      </c>
      <c r="Y83" s="1230">
        <f t="shared" ref="Y83:Y100" si="55">E83-W83</f>
        <v>37215</v>
      </c>
    </row>
    <row r="84" spans="1:25" s="712" customFormat="1" x14ac:dyDescent="0.25">
      <c r="A84" s="986" t="s">
        <v>1167</v>
      </c>
      <c r="B84" s="984"/>
      <c r="C84" s="991">
        <v>80</v>
      </c>
      <c r="D84" s="991"/>
      <c r="E84" s="720">
        <f t="shared" si="50"/>
        <v>80</v>
      </c>
      <c r="F84" s="144">
        <f t="shared" si="51"/>
        <v>80</v>
      </c>
      <c r="G84" s="998">
        <f t="shared" si="52"/>
        <v>80</v>
      </c>
      <c r="H84" s="989">
        <f t="shared" si="53"/>
        <v>80</v>
      </c>
      <c r="I84" s="937"/>
      <c r="J84" s="997"/>
      <c r="K84" s="997"/>
      <c r="L84" s="997"/>
      <c r="M84" s="997"/>
      <c r="N84" s="937"/>
      <c r="O84" s="937"/>
      <c r="P84" s="937"/>
      <c r="Q84" s="937"/>
      <c r="R84" s="937"/>
      <c r="S84" s="937"/>
      <c r="T84" s="937"/>
      <c r="U84" s="997">
        <f t="shared" si="47"/>
        <v>0</v>
      </c>
      <c r="V84" s="997">
        <f t="shared" si="48"/>
        <v>0</v>
      </c>
      <c r="W84" s="989">
        <f t="shared" si="49"/>
        <v>0</v>
      </c>
      <c r="X84" s="989">
        <f t="shared" si="54"/>
        <v>80</v>
      </c>
      <c r="Y84" s="1230">
        <f t="shared" si="55"/>
        <v>80</v>
      </c>
    </row>
    <row r="85" spans="1:25" s="712" customFormat="1" x14ac:dyDescent="0.25">
      <c r="A85" s="986" t="s">
        <v>1168</v>
      </c>
      <c r="B85" s="984"/>
      <c r="C85" s="991">
        <v>45</v>
      </c>
      <c r="D85" s="991"/>
      <c r="E85" s="720">
        <f t="shared" si="50"/>
        <v>45</v>
      </c>
      <c r="F85" s="144">
        <f t="shared" si="51"/>
        <v>45</v>
      </c>
      <c r="G85" s="998">
        <f t="shared" si="52"/>
        <v>45</v>
      </c>
      <c r="H85" s="989">
        <f t="shared" si="53"/>
        <v>45</v>
      </c>
      <c r="I85" s="937"/>
      <c r="J85" s="997"/>
      <c r="K85" s="997"/>
      <c r="L85" s="997"/>
      <c r="M85" s="997"/>
      <c r="N85" s="937"/>
      <c r="O85" s="937"/>
      <c r="P85" s="937"/>
      <c r="Q85" s="937"/>
      <c r="R85" s="937"/>
      <c r="S85" s="937"/>
      <c r="T85" s="937"/>
      <c r="U85" s="997">
        <f t="shared" si="47"/>
        <v>0</v>
      </c>
      <c r="V85" s="997">
        <f t="shared" si="48"/>
        <v>0</v>
      </c>
      <c r="W85" s="989">
        <f t="shared" si="49"/>
        <v>0</v>
      </c>
      <c r="X85" s="989">
        <f t="shared" si="54"/>
        <v>45</v>
      </c>
      <c r="Y85" s="1230">
        <f t="shared" si="55"/>
        <v>45</v>
      </c>
    </row>
    <row r="86" spans="1:25" s="712" customFormat="1" x14ac:dyDescent="0.25">
      <c r="A86" s="986" t="s">
        <v>1169</v>
      </c>
      <c r="B86" s="984"/>
      <c r="C86" s="991">
        <v>5</v>
      </c>
      <c r="D86" s="991"/>
      <c r="E86" s="720">
        <f t="shared" si="50"/>
        <v>5</v>
      </c>
      <c r="F86" s="144">
        <f t="shared" si="51"/>
        <v>5</v>
      </c>
      <c r="G86" s="998">
        <f t="shared" si="52"/>
        <v>5</v>
      </c>
      <c r="H86" s="989">
        <f t="shared" si="53"/>
        <v>5</v>
      </c>
      <c r="I86" s="937"/>
      <c r="J86" s="997"/>
      <c r="K86" s="997"/>
      <c r="L86" s="997"/>
      <c r="M86" s="997"/>
      <c r="N86" s="937"/>
      <c r="O86" s="937"/>
      <c r="P86" s="937"/>
      <c r="Q86" s="937"/>
      <c r="R86" s="937"/>
      <c r="S86" s="937"/>
      <c r="T86" s="937"/>
      <c r="U86" s="997">
        <f t="shared" si="47"/>
        <v>0</v>
      </c>
      <c r="V86" s="997">
        <f t="shared" si="48"/>
        <v>0</v>
      </c>
      <c r="W86" s="989">
        <f t="shared" si="49"/>
        <v>0</v>
      </c>
      <c r="X86" s="989">
        <f t="shared" si="54"/>
        <v>5</v>
      </c>
      <c r="Y86" s="1230">
        <f t="shared" si="55"/>
        <v>5</v>
      </c>
    </row>
    <row r="87" spans="1:25" s="712" customFormat="1" x14ac:dyDescent="0.25">
      <c r="A87" s="986" t="s">
        <v>1170</v>
      </c>
      <c r="B87" s="984"/>
      <c r="C87" s="991">
        <v>1000</v>
      </c>
      <c r="D87" s="991"/>
      <c r="E87" s="720">
        <f t="shared" si="50"/>
        <v>1000</v>
      </c>
      <c r="F87" s="144">
        <f t="shared" si="51"/>
        <v>1000</v>
      </c>
      <c r="G87" s="998">
        <f t="shared" si="52"/>
        <v>1000</v>
      </c>
      <c r="H87" s="989">
        <f t="shared" si="53"/>
        <v>1000</v>
      </c>
      <c r="I87" s="937"/>
      <c r="J87" s="997"/>
      <c r="K87" s="997"/>
      <c r="L87" s="997"/>
      <c r="M87" s="997"/>
      <c r="N87" s="937"/>
      <c r="O87" s="937"/>
      <c r="P87" s="937"/>
      <c r="Q87" s="937"/>
      <c r="R87" s="937"/>
      <c r="S87" s="937"/>
      <c r="T87" s="937"/>
      <c r="U87" s="997">
        <f t="shared" si="47"/>
        <v>0</v>
      </c>
      <c r="V87" s="997">
        <f t="shared" si="48"/>
        <v>0</v>
      </c>
      <c r="W87" s="989">
        <f t="shared" si="49"/>
        <v>0</v>
      </c>
      <c r="X87" s="989">
        <f t="shared" si="54"/>
        <v>1000</v>
      </c>
      <c r="Y87" s="1230">
        <f t="shared" si="55"/>
        <v>1000</v>
      </c>
    </row>
    <row r="88" spans="1:25" s="712" customFormat="1" x14ac:dyDescent="0.25">
      <c r="A88" s="985" t="s">
        <v>1171</v>
      </c>
      <c r="B88" s="984"/>
      <c r="C88" s="991">
        <v>20</v>
      </c>
      <c r="D88" s="991"/>
      <c r="E88" s="720">
        <f t="shared" si="50"/>
        <v>20</v>
      </c>
      <c r="F88" s="144">
        <f t="shared" si="51"/>
        <v>20</v>
      </c>
      <c r="G88" s="998">
        <f t="shared" si="52"/>
        <v>20</v>
      </c>
      <c r="H88" s="989">
        <f t="shared" si="53"/>
        <v>20</v>
      </c>
      <c r="I88" s="937"/>
      <c r="J88" s="997"/>
      <c r="K88" s="997"/>
      <c r="L88" s="997"/>
      <c r="M88" s="997"/>
      <c r="N88" s="937"/>
      <c r="O88" s="937"/>
      <c r="P88" s="937"/>
      <c r="Q88" s="937"/>
      <c r="R88" s="937"/>
      <c r="S88" s="937"/>
      <c r="T88" s="937"/>
      <c r="U88" s="997">
        <f t="shared" si="47"/>
        <v>0</v>
      </c>
      <c r="V88" s="997">
        <f t="shared" si="48"/>
        <v>0</v>
      </c>
      <c r="W88" s="989">
        <f t="shared" si="49"/>
        <v>0</v>
      </c>
      <c r="X88" s="989">
        <f t="shared" si="54"/>
        <v>20</v>
      </c>
      <c r="Y88" s="1230">
        <f t="shared" si="55"/>
        <v>20</v>
      </c>
    </row>
    <row r="89" spans="1:25" s="712" customFormat="1" x14ac:dyDescent="0.25">
      <c r="A89" s="985" t="s">
        <v>502</v>
      </c>
      <c r="B89" s="984"/>
      <c r="C89" s="991">
        <v>40</v>
      </c>
      <c r="D89" s="991"/>
      <c r="E89" s="720">
        <f t="shared" si="50"/>
        <v>40</v>
      </c>
      <c r="F89" s="144">
        <f t="shared" si="51"/>
        <v>40</v>
      </c>
      <c r="G89" s="998">
        <f t="shared" si="52"/>
        <v>40</v>
      </c>
      <c r="H89" s="989">
        <f t="shared" si="53"/>
        <v>40</v>
      </c>
      <c r="I89" s="937"/>
      <c r="J89" s="997"/>
      <c r="K89" s="997"/>
      <c r="L89" s="997"/>
      <c r="M89" s="997"/>
      <c r="N89" s="937"/>
      <c r="O89" s="937"/>
      <c r="P89" s="937"/>
      <c r="Q89" s="937"/>
      <c r="R89" s="937"/>
      <c r="S89" s="937"/>
      <c r="T89" s="937"/>
      <c r="U89" s="997">
        <f t="shared" si="47"/>
        <v>0</v>
      </c>
      <c r="V89" s="997">
        <f t="shared" si="48"/>
        <v>0</v>
      </c>
      <c r="W89" s="989">
        <f t="shared" si="49"/>
        <v>0</v>
      </c>
      <c r="X89" s="989">
        <f t="shared" si="54"/>
        <v>40</v>
      </c>
      <c r="Y89" s="1230">
        <f t="shared" si="55"/>
        <v>40</v>
      </c>
    </row>
    <row r="90" spans="1:25" s="712" customFormat="1" x14ac:dyDescent="0.25">
      <c r="A90" s="985" t="s">
        <v>1172</v>
      </c>
      <c r="B90" s="984"/>
      <c r="C90" s="991">
        <v>120</v>
      </c>
      <c r="D90" s="991"/>
      <c r="E90" s="720">
        <f t="shared" si="50"/>
        <v>120</v>
      </c>
      <c r="F90" s="144">
        <f t="shared" si="51"/>
        <v>120</v>
      </c>
      <c r="G90" s="998">
        <f t="shared" si="52"/>
        <v>120</v>
      </c>
      <c r="H90" s="989">
        <f t="shared" si="53"/>
        <v>120</v>
      </c>
      <c r="I90" s="937"/>
      <c r="J90" s="997"/>
      <c r="K90" s="997"/>
      <c r="L90" s="997"/>
      <c r="M90" s="997"/>
      <c r="N90" s="937"/>
      <c r="O90" s="937"/>
      <c r="P90" s="937"/>
      <c r="Q90" s="937"/>
      <c r="R90" s="937"/>
      <c r="S90" s="937"/>
      <c r="T90" s="937"/>
      <c r="U90" s="997">
        <f t="shared" si="47"/>
        <v>0</v>
      </c>
      <c r="V90" s="997">
        <f t="shared" si="48"/>
        <v>0</v>
      </c>
      <c r="W90" s="989">
        <f t="shared" si="49"/>
        <v>0</v>
      </c>
      <c r="X90" s="989">
        <f t="shared" si="54"/>
        <v>120</v>
      </c>
      <c r="Y90" s="1230">
        <f t="shared" si="55"/>
        <v>120</v>
      </c>
    </row>
    <row r="91" spans="1:25" s="712" customFormat="1" x14ac:dyDescent="0.25">
      <c r="A91" s="985" t="s">
        <v>1173</v>
      </c>
      <c r="B91" s="984"/>
      <c r="C91" s="991">
        <v>132</v>
      </c>
      <c r="D91" s="991"/>
      <c r="E91" s="720">
        <f t="shared" si="50"/>
        <v>132</v>
      </c>
      <c r="F91" s="144">
        <f t="shared" si="51"/>
        <v>132</v>
      </c>
      <c r="G91" s="998">
        <f t="shared" si="52"/>
        <v>132</v>
      </c>
      <c r="H91" s="989">
        <f t="shared" si="53"/>
        <v>132</v>
      </c>
      <c r="I91" s="937"/>
      <c r="J91" s="997"/>
      <c r="K91" s="997"/>
      <c r="L91" s="997"/>
      <c r="M91" s="997"/>
      <c r="N91" s="937"/>
      <c r="O91" s="937"/>
      <c r="P91" s="937"/>
      <c r="Q91" s="937"/>
      <c r="R91" s="937"/>
      <c r="S91" s="937"/>
      <c r="T91" s="937"/>
      <c r="U91" s="997">
        <f t="shared" si="47"/>
        <v>0</v>
      </c>
      <c r="V91" s="997">
        <f t="shared" si="48"/>
        <v>0</v>
      </c>
      <c r="W91" s="989">
        <f t="shared" si="49"/>
        <v>0</v>
      </c>
      <c r="X91" s="989">
        <f t="shared" si="54"/>
        <v>132</v>
      </c>
      <c r="Y91" s="1230">
        <f t="shared" si="55"/>
        <v>132</v>
      </c>
    </row>
    <row r="92" spans="1:25" s="712" customFormat="1" x14ac:dyDescent="0.25">
      <c r="A92" s="985" t="s">
        <v>1174</v>
      </c>
      <c r="B92" s="984"/>
      <c r="C92" s="991">
        <v>80</v>
      </c>
      <c r="D92" s="991"/>
      <c r="E92" s="720">
        <f t="shared" si="50"/>
        <v>80</v>
      </c>
      <c r="F92" s="144">
        <f t="shared" si="51"/>
        <v>80</v>
      </c>
      <c r="G92" s="998">
        <f t="shared" si="52"/>
        <v>80</v>
      </c>
      <c r="H92" s="989">
        <f t="shared" si="53"/>
        <v>80</v>
      </c>
      <c r="I92" s="937"/>
      <c r="J92" s="997"/>
      <c r="K92" s="997"/>
      <c r="L92" s="997"/>
      <c r="M92" s="997"/>
      <c r="N92" s="937"/>
      <c r="O92" s="937"/>
      <c r="P92" s="937"/>
      <c r="Q92" s="937"/>
      <c r="R92" s="937"/>
      <c r="S92" s="937"/>
      <c r="T92" s="937"/>
      <c r="U92" s="997">
        <f t="shared" si="47"/>
        <v>0</v>
      </c>
      <c r="V92" s="997">
        <f t="shared" si="48"/>
        <v>0</v>
      </c>
      <c r="W92" s="989">
        <f t="shared" si="49"/>
        <v>0</v>
      </c>
      <c r="X92" s="989">
        <f t="shared" si="54"/>
        <v>80</v>
      </c>
      <c r="Y92" s="1230">
        <f t="shared" si="55"/>
        <v>80</v>
      </c>
    </row>
    <row r="93" spans="1:25" s="712" customFormat="1" x14ac:dyDescent="0.25">
      <c r="A93" s="992" t="s">
        <v>425</v>
      </c>
      <c r="B93" s="984" t="s">
        <v>43</v>
      </c>
      <c r="C93" s="991"/>
      <c r="D93" s="991"/>
      <c r="E93" s="720">
        <f t="shared" si="50"/>
        <v>0</v>
      </c>
      <c r="F93" s="144">
        <f t="shared" si="51"/>
        <v>0</v>
      </c>
      <c r="G93" s="998">
        <f t="shared" si="52"/>
        <v>0</v>
      </c>
      <c r="H93" s="989">
        <f t="shared" si="53"/>
        <v>0</v>
      </c>
      <c r="I93" s="937"/>
      <c r="J93" s="997"/>
      <c r="K93" s="997"/>
      <c r="L93" s="997"/>
      <c r="M93" s="997"/>
      <c r="N93" s="937"/>
      <c r="O93" s="937"/>
      <c r="P93" s="937"/>
      <c r="Q93" s="937"/>
      <c r="R93" s="937"/>
      <c r="S93" s="937"/>
      <c r="T93" s="937"/>
      <c r="U93" s="997">
        <f t="shared" si="47"/>
        <v>0</v>
      </c>
      <c r="V93" s="997">
        <f t="shared" si="48"/>
        <v>0</v>
      </c>
      <c r="W93" s="989">
        <f t="shared" si="49"/>
        <v>0</v>
      </c>
      <c r="X93" s="989">
        <f t="shared" si="54"/>
        <v>0</v>
      </c>
      <c r="Y93" s="1230">
        <f t="shared" si="55"/>
        <v>0</v>
      </c>
    </row>
    <row r="94" spans="1:25" s="712" customFormat="1" x14ac:dyDescent="0.25">
      <c r="A94" s="993" t="s">
        <v>1175</v>
      </c>
      <c r="B94" s="984"/>
      <c r="C94" s="991">
        <v>52280</v>
      </c>
      <c r="D94" s="991"/>
      <c r="E94" s="720">
        <f t="shared" si="50"/>
        <v>52280</v>
      </c>
      <c r="F94" s="144">
        <f t="shared" si="51"/>
        <v>52280</v>
      </c>
      <c r="G94" s="998">
        <f t="shared" si="52"/>
        <v>52280</v>
      </c>
      <c r="H94" s="989">
        <f t="shared" si="53"/>
        <v>52280</v>
      </c>
      <c r="I94" s="937"/>
      <c r="J94" s="997">
        <v>51800</v>
      </c>
      <c r="K94" s="997"/>
      <c r="L94" s="997"/>
      <c r="M94" s="997"/>
      <c r="N94" s="937"/>
      <c r="O94" s="937"/>
      <c r="P94" s="937"/>
      <c r="Q94" s="937"/>
      <c r="R94" s="937"/>
      <c r="S94" s="937"/>
      <c r="T94" s="937"/>
      <c r="U94" s="997">
        <f t="shared" si="47"/>
        <v>51800</v>
      </c>
      <c r="V94" s="997">
        <f t="shared" si="48"/>
        <v>0</v>
      </c>
      <c r="W94" s="989">
        <f t="shared" si="49"/>
        <v>51800</v>
      </c>
      <c r="X94" s="989">
        <f t="shared" si="54"/>
        <v>480</v>
      </c>
      <c r="Y94" s="1230">
        <f t="shared" si="55"/>
        <v>480</v>
      </c>
    </row>
    <row r="95" spans="1:25" s="712" customFormat="1" x14ac:dyDescent="0.25">
      <c r="A95" s="994" t="s">
        <v>1176</v>
      </c>
      <c r="B95" s="984"/>
      <c r="C95" s="991">
        <v>27110</v>
      </c>
      <c r="D95" s="991"/>
      <c r="E95" s="720">
        <f t="shared" si="50"/>
        <v>27110</v>
      </c>
      <c r="F95" s="144">
        <f t="shared" si="51"/>
        <v>27110</v>
      </c>
      <c r="G95" s="998">
        <f t="shared" si="52"/>
        <v>27110</v>
      </c>
      <c r="H95" s="989">
        <f t="shared" si="53"/>
        <v>27110</v>
      </c>
      <c r="I95" s="937"/>
      <c r="J95" s="997">
        <v>25900</v>
      </c>
      <c r="K95" s="997"/>
      <c r="L95" s="997"/>
      <c r="M95" s="997"/>
      <c r="N95" s="937"/>
      <c r="O95" s="937"/>
      <c r="P95" s="937"/>
      <c r="Q95" s="937"/>
      <c r="R95" s="937"/>
      <c r="S95" s="937"/>
      <c r="T95" s="937"/>
      <c r="U95" s="997">
        <f t="shared" si="47"/>
        <v>25900</v>
      </c>
      <c r="V95" s="997">
        <f t="shared" si="48"/>
        <v>0</v>
      </c>
      <c r="W95" s="989">
        <f t="shared" si="49"/>
        <v>25900</v>
      </c>
      <c r="X95" s="989">
        <f t="shared" si="54"/>
        <v>1210</v>
      </c>
      <c r="Y95" s="1230">
        <f t="shared" si="55"/>
        <v>1210</v>
      </c>
    </row>
    <row r="96" spans="1:25" s="712" customFormat="1" ht="25.5" x14ac:dyDescent="0.25">
      <c r="A96" s="1002" t="s">
        <v>1177</v>
      </c>
      <c r="B96" s="984"/>
      <c r="C96" s="991">
        <v>850</v>
      </c>
      <c r="D96" s="991"/>
      <c r="E96" s="720">
        <f t="shared" si="50"/>
        <v>850</v>
      </c>
      <c r="F96" s="144">
        <f t="shared" si="51"/>
        <v>850</v>
      </c>
      <c r="G96" s="998">
        <f t="shared" si="52"/>
        <v>850</v>
      </c>
      <c r="H96" s="989">
        <f t="shared" si="53"/>
        <v>850</v>
      </c>
      <c r="I96" s="937"/>
      <c r="J96" s="997"/>
      <c r="K96" s="997"/>
      <c r="L96" s="997"/>
      <c r="M96" s="997"/>
      <c r="N96" s="937"/>
      <c r="O96" s="937"/>
      <c r="P96" s="937"/>
      <c r="Q96" s="937"/>
      <c r="R96" s="937"/>
      <c r="S96" s="937"/>
      <c r="T96" s="937"/>
      <c r="U96" s="997">
        <f t="shared" si="47"/>
        <v>0</v>
      </c>
      <c r="V96" s="997">
        <f t="shared" si="48"/>
        <v>0</v>
      </c>
      <c r="W96" s="989">
        <f t="shared" si="49"/>
        <v>0</v>
      </c>
      <c r="X96" s="989">
        <f t="shared" si="54"/>
        <v>850</v>
      </c>
      <c r="Y96" s="1230">
        <f t="shared" si="55"/>
        <v>850</v>
      </c>
    </row>
    <row r="97" spans="1:25" s="712" customFormat="1" ht="25.5" x14ac:dyDescent="0.25">
      <c r="A97" s="1001" t="s">
        <v>1178</v>
      </c>
      <c r="B97" s="984"/>
      <c r="C97" s="991">
        <v>100240</v>
      </c>
      <c r="D97" s="991"/>
      <c r="E97" s="720">
        <f t="shared" si="50"/>
        <v>100240</v>
      </c>
      <c r="F97" s="144">
        <f t="shared" si="51"/>
        <v>100240</v>
      </c>
      <c r="G97" s="998">
        <f t="shared" si="52"/>
        <v>100240</v>
      </c>
      <c r="H97" s="989">
        <f t="shared" si="53"/>
        <v>100240</v>
      </c>
      <c r="I97" s="937"/>
      <c r="J97" s="997">
        <v>18400</v>
      </c>
      <c r="K97" s="997"/>
      <c r="L97" s="997"/>
      <c r="M97" s="997"/>
      <c r="N97" s="937"/>
      <c r="O97" s="937"/>
      <c r="P97" s="937"/>
      <c r="Q97" s="937"/>
      <c r="R97" s="937"/>
      <c r="S97" s="937"/>
      <c r="T97" s="937"/>
      <c r="U97" s="997">
        <f t="shared" si="47"/>
        <v>18400</v>
      </c>
      <c r="V97" s="997">
        <f t="shared" si="48"/>
        <v>0</v>
      </c>
      <c r="W97" s="989">
        <f t="shared" si="49"/>
        <v>18400</v>
      </c>
      <c r="X97" s="989">
        <f t="shared" si="54"/>
        <v>81840</v>
      </c>
      <c r="Y97" s="1230">
        <f t="shared" si="55"/>
        <v>81840</v>
      </c>
    </row>
    <row r="98" spans="1:25" s="987" customFormat="1" x14ac:dyDescent="0.25">
      <c r="A98" s="992" t="s">
        <v>1404</v>
      </c>
      <c r="B98" s="991"/>
      <c r="C98" s="991">
        <v>214050</v>
      </c>
      <c r="D98" s="991"/>
      <c r="E98" s="720">
        <f t="shared" si="50"/>
        <v>214050</v>
      </c>
      <c r="F98" s="144">
        <f t="shared" si="51"/>
        <v>214050</v>
      </c>
      <c r="G98" s="998">
        <f t="shared" si="52"/>
        <v>214050</v>
      </c>
      <c r="H98" s="989">
        <f t="shared" si="53"/>
        <v>214050</v>
      </c>
      <c r="I98" s="937"/>
      <c r="J98" s="997"/>
      <c r="K98" s="997"/>
      <c r="L98" s="997"/>
      <c r="M98" s="997"/>
      <c r="N98" s="937"/>
      <c r="O98" s="937"/>
      <c r="P98" s="937"/>
      <c r="Q98" s="937"/>
      <c r="R98" s="937"/>
      <c r="S98" s="937"/>
      <c r="T98" s="937"/>
      <c r="U98" s="997">
        <f t="shared" si="47"/>
        <v>0</v>
      </c>
      <c r="V98" s="997">
        <f t="shared" si="48"/>
        <v>0</v>
      </c>
      <c r="W98" s="989">
        <f t="shared" ref="W98" si="56">U98+V98</f>
        <v>0</v>
      </c>
      <c r="X98" s="989">
        <f t="shared" ref="X98" si="57">H98-W98</f>
        <v>214050</v>
      </c>
      <c r="Y98" s="1230">
        <f t="shared" ref="Y98" si="58">E98-W98</f>
        <v>214050</v>
      </c>
    </row>
    <row r="99" spans="1:25" s="712" customFormat="1" x14ac:dyDescent="0.25">
      <c r="A99" s="992" t="s">
        <v>490</v>
      </c>
      <c r="B99" s="984"/>
      <c r="C99" s="991"/>
      <c r="D99" s="991"/>
      <c r="E99" s="720">
        <f t="shared" si="50"/>
        <v>0</v>
      </c>
      <c r="F99" s="144">
        <f t="shared" si="51"/>
        <v>0</v>
      </c>
      <c r="G99" s="998">
        <f t="shared" si="52"/>
        <v>0</v>
      </c>
      <c r="H99" s="989">
        <f t="shared" si="53"/>
        <v>0</v>
      </c>
      <c r="I99" s="937"/>
      <c r="J99" s="997"/>
      <c r="K99" s="997"/>
      <c r="L99" s="997"/>
      <c r="M99" s="997"/>
      <c r="N99" s="937"/>
      <c r="O99" s="937"/>
      <c r="P99" s="937"/>
      <c r="Q99" s="937"/>
      <c r="R99" s="937"/>
      <c r="S99" s="937"/>
      <c r="T99" s="937"/>
      <c r="U99" s="997">
        <f t="shared" si="47"/>
        <v>0</v>
      </c>
      <c r="V99" s="997">
        <f t="shared" si="48"/>
        <v>0</v>
      </c>
      <c r="W99" s="989">
        <f t="shared" si="49"/>
        <v>0</v>
      </c>
      <c r="X99" s="989">
        <f t="shared" si="54"/>
        <v>0</v>
      </c>
      <c r="Y99" s="1230">
        <f t="shared" si="55"/>
        <v>0</v>
      </c>
    </row>
    <row r="100" spans="1:25" s="712" customFormat="1" x14ac:dyDescent="0.25">
      <c r="A100" s="994" t="s">
        <v>1179</v>
      </c>
      <c r="B100" s="984"/>
      <c r="C100" s="991">
        <v>120000</v>
      </c>
      <c r="D100" s="991"/>
      <c r="E100" s="720">
        <f t="shared" si="50"/>
        <v>120000</v>
      </c>
      <c r="F100" s="144">
        <f t="shared" si="51"/>
        <v>120000</v>
      </c>
      <c r="G100" s="998">
        <f t="shared" si="52"/>
        <v>120000</v>
      </c>
      <c r="H100" s="989">
        <f t="shared" si="53"/>
        <v>120000</v>
      </c>
      <c r="I100" s="937"/>
      <c r="J100" s="997"/>
      <c r="K100" s="997"/>
      <c r="L100" s="997"/>
      <c r="M100" s="997"/>
      <c r="N100" s="937"/>
      <c r="O100" s="937"/>
      <c r="P100" s="937"/>
      <c r="Q100" s="937"/>
      <c r="R100" s="937"/>
      <c r="S100" s="937"/>
      <c r="T100" s="937"/>
      <c r="U100" s="997">
        <f t="shared" si="47"/>
        <v>0</v>
      </c>
      <c r="V100" s="997">
        <f t="shared" si="48"/>
        <v>0</v>
      </c>
      <c r="W100" s="989">
        <f t="shared" si="49"/>
        <v>0</v>
      </c>
      <c r="X100" s="989">
        <f t="shared" si="54"/>
        <v>120000</v>
      </c>
      <c r="Y100" s="1230">
        <f t="shared" si="55"/>
        <v>120000</v>
      </c>
    </row>
    <row r="101" spans="1:25" s="995" customFormat="1" x14ac:dyDescent="0.25">
      <c r="A101" s="982" t="s">
        <v>333</v>
      </c>
      <c r="B101" s="999"/>
      <c r="C101" s="1000">
        <f>SUM(C83:C100)</f>
        <v>553267</v>
      </c>
      <c r="D101" s="1000">
        <f>SUM(D83:D100)</f>
        <v>0</v>
      </c>
      <c r="E101" s="1000">
        <f t="shared" ref="E101:Y101" si="59">SUM(E83:E100)</f>
        <v>553267</v>
      </c>
      <c r="F101" s="1000">
        <f t="shared" si="59"/>
        <v>553267</v>
      </c>
      <c r="G101" s="1000">
        <f t="shared" si="59"/>
        <v>553267</v>
      </c>
      <c r="H101" s="1000">
        <f t="shared" si="59"/>
        <v>553267</v>
      </c>
      <c r="I101" s="1000">
        <f t="shared" si="59"/>
        <v>0</v>
      </c>
      <c r="J101" s="1000">
        <f t="shared" si="59"/>
        <v>96100</v>
      </c>
      <c r="K101" s="1000">
        <f t="shared" si="59"/>
        <v>0</v>
      </c>
      <c r="L101" s="1000">
        <f t="shared" si="59"/>
        <v>0</v>
      </c>
      <c r="M101" s="1000">
        <f t="shared" si="59"/>
        <v>0</v>
      </c>
      <c r="N101" s="1000">
        <f t="shared" si="59"/>
        <v>0</v>
      </c>
      <c r="O101" s="1000">
        <f t="shared" si="59"/>
        <v>0</v>
      </c>
      <c r="P101" s="1000">
        <f>SUM(P84:P100)</f>
        <v>0</v>
      </c>
      <c r="Q101" s="1000">
        <f t="shared" si="59"/>
        <v>0</v>
      </c>
      <c r="R101" s="1000">
        <f t="shared" si="59"/>
        <v>0</v>
      </c>
      <c r="S101" s="1000">
        <f t="shared" si="59"/>
        <v>0</v>
      </c>
      <c r="T101" s="1000">
        <f t="shared" si="59"/>
        <v>0</v>
      </c>
      <c r="U101" s="1000">
        <f t="shared" si="59"/>
        <v>96100</v>
      </c>
      <c r="V101" s="1000">
        <f t="shared" si="59"/>
        <v>0</v>
      </c>
      <c r="W101" s="1000">
        <f t="shared" si="59"/>
        <v>96100</v>
      </c>
      <c r="X101" s="1000">
        <f t="shared" si="59"/>
        <v>457167</v>
      </c>
      <c r="Y101" s="1313">
        <f t="shared" si="59"/>
        <v>457167</v>
      </c>
    </row>
    <row r="102" spans="1:25" x14ac:dyDescent="0.25">
      <c r="A102" s="142" t="s">
        <v>213</v>
      </c>
      <c r="B102" s="152"/>
      <c r="C102" s="351">
        <f>C80+C101</f>
        <v>4267759.5</v>
      </c>
      <c r="D102" s="351">
        <f>D80+D101</f>
        <v>0</v>
      </c>
      <c r="E102" s="351">
        <f t="shared" ref="E102:Y102" si="60">E80+E101</f>
        <v>4267759.5</v>
      </c>
      <c r="F102" s="351">
        <f t="shared" si="60"/>
        <v>4267759.5</v>
      </c>
      <c r="G102" s="351">
        <f t="shared" si="60"/>
        <v>4267759.5</v>
      </c>
      <c r="H102" s="351">
        <f t="shared" si="60"/>
        <v>4267759.5</v>
      </c>
      <c r="I102" s="351">
        <f t="shared" si="60"/>
        <v>0</v>
      </c>
      <c r="J102" s="351">
        <f t="shared" si="60"/>
        <v>96100</v>
      </c>
      <c r="K102" s="351">
        <f t="shared" si="60"/>
        <v>0</v>
      </c>
      <c r="L102" s="351">
        <f t="shared" si="60"/>
        <v>0</v>
      </c>
      <c r="M102" s="351">
        <f t="shared" si="60"/>
        <v>0</v>
      </c>
      <c r="N102" s="351">
        <f t="shared" si="60"/>
        <v>0</v>
      </c>
      <c r="O102" s="351">
        <f t="shared" si="60"/>
        <v>3400000</v>
      </c>
      <c r="P102" s="351">
        <f t="shared" si="60"/>
        <v>23400</v>
      </c>
      <c r="Q102" s="351">
        <f t="shared" si="60"/>
        <v>0</v>
      </c>
      <c r="R102" s="351">
        <f t="shared" si="60"/>
        <v>0</v>
      </c>
      <c r="S102" s="351">
        <f t="shared" si="60"/>
        <v>0</v>
      </c>
      <c r="T102" s="351">
        <f t="shared" si="60"/>
        <v>0</v>
      </c>
      <c r="U102" s="351">
        <f t="shared" si="60"/>
        <v>3519500</v>
      </c>
      <c r="V102" s="351">
        <f t="shared" si="60"/>
        <v>0</v>
      </c>
      <c r="W102" s="351">
        <f t="shared" si="60"/>
        <v>3519500</v>
      </c>
      <c r="X102" s="351">
        <f t="shared" si="60"/>
        <v>748259.5</v>
      </c>
      <c r="Y102" s="1314">
        <f t="shared" si="60"/>
        <v>748259.5</v>
      </c>
    </row>
    <row r="103" spans="1:25" ht="15.75" thickBot="1" x14ac:dyDescent="0.3">
      <c r="A103" s="153" t="s">
        <v>160</v>
      </c>
      <c r="B103" s="154"/>
      <c r="C103" s="154">
        <f t="shared" ref="C103:Y103" si="61">C102+C67+C65</f>
        <v>10082542</v>
      </c>
      <c r="D103" s="154">
        <f t="shared" ref="D103" si="62">D102+D67+D65</f>
        <v>48119.100000000006</v>
      </c>
      <c r="E103" s="154">
        <f t="shared" si="61"/>
        <v>10130661.100000001</v>
      </c>
      <c r="F103" s="154">
        <f t="shared" si="61"/>
        <v>8186065.9950000001</v>
      </c>
      <c r="G103" s="154">
        <f t="shared" si="61"/>
        <v>4756334.6333333338</v>
      </c>
      <c r="H103" s="154">
        <f t="shared" si="61"/>
        <v>8674641.1283333339</v>
      </c>
      <c r="I103" s="154">
        <f t="shared" si="61"/>
        <v>7188</v>
      </c>
      <c r="J103" s="1005">
        <f t="shared" si="61"/>
        <v>133218.70000000001</v>
      </c>
      <c r="K103" s="1005">
        <f t="shared" si="61"/>
        <v>807227.06</v>
      </c>
      <c r="L103" s="1005">
        <f t="shared" si="61"/>
        <v>449191.92</v>
      </c>
      <c r="M103" s="1005">
        <f t="shared" si="61"/>
        <v>38175.01</v>
      </c>
      <c r="N103" s="154">
        <f t="shared" si="61"/>
        <v>1490</v>
      </c>
      <c r="O103" s="154">
        <f t="shared" si="61"/>
        <v>3610747.09</v>
      </c>
      <c r="P103" s="154">
        <f t="shared" si="61"/>
        <v>217383.18</v>
      </c>
      <c r="Q103" s="154">
        <f t="shared" si="61"/>
        <v>96778.85</v>
      </c>
      <c r="R103" s="154">
        <f t="shared" si="61"/>
        <v>185580</v>
      </c>
      <c r="S103" s="154">
        <f t="shared" si="61"/>
        <v>0</v>
      </c>
      <c r="T103" s="154">
        <f t="shared" si="61"/>
        <v>118380</v>
      </c>
      <c r="U103" s="1005">
        <f t="shared" si="61"/>
        <v>5361399.8099999996</v>
      </c>
      <c r="V103" s="154">
        <f t="shared" si="61"/>
        <v>185580</v>
      </c>
      <c r="W103" s="154">
        <f t="shared" si="61"/>
        <v>5546979.8099999996</v>
      </c>
      <c r="X103" s="154">
        <f t="shared" si="61"/>
        <v>3127661.3183333338</v>
      </c>
      <c r="Y103" s="1315">
        <f t="shared" si="61"/>
        <v>4583681.29</v>
      </c>
    </row>
    <row r="104" spans="1:25" ht="15.75" thickTop="1" x14ac:dyDescent="0.25">
      <c r="H104" s="352"/>
    </row>
    <row r="105" spans="1:25" x14ac:dyDescent="0.25">
      <c r="A105" s="21" t="s">
        <v>354</v>
      </c>
      <c r="B105" s="30"/>
      <c r="C105" s="35"/>
      <c r="D105" s="35"/>
      <c r="E105" s="35"/>
      <c r="F105" s="35"/>
      <c r="G105" s="35"/>
      <c r="X105" s="259" t="s">
        <v>357</v>
      </c>
    </row>
    <row r="107" spans="1:25" x14ac:dyDescent="0.25">
      <c r="B107" s="32"/>
      <c r="C107" s="36"/>
      <c r="D107" s="36"/>
      <c r="E107" s="36"/>
      <c r="F107" s="36"/>
      <c r="G107" s="36"/>
    </row>
    <row r="108" spans="1:25" x14ac:dyDescent="0.25">
      <c r="A108" s="258" t="s">
        <v>355</v>
      </c>
      <c r="B108" s="14"/>
      <c r="C108" s="31"/>
      <c r="D108" s="31"/>
      <c r="E108" s="31"/>
      <c r="F108" s="31"/>
      <c r="G108" s="31"/>
      <c r="X108" s="260" t="s">
        <v>358</v>
      </c>
    </row>
    <row r="109" spans="1:25" x14ac:dyDescent="0.25">
      <c r="A109" s="259" t="s">
        <v>356</v>
      </c>
      <c r="X109" s="259" t="s">
        <v>359</v>
      </c>
    </row>
    <row r="110" spans="1:25" x14ac:dyDescent="0.25">
      <c r="H110" s="352"/>
    </row>
  </sheetData>
  <mergeCells count="3">
    <mergeCell ref="A3:Y3"/>
    <mergeCell ref="A2:Y2"/>
    <mergeCell ref="A1:Y1"/>
  </mergeCells>
  <printOptions horizontalCentered="1" verticalCentered="1" headings="1"/>
  <pageMargins left="0.81496062999999996" right="0.143700787" top="1.1043307090000001" bottom="0.15748031496063" header="0.36811023599999998" footer="0.36811023599999998"/>
  <pageSetup paperSize="5" scale="79" orientation="landscape" r:id="rId1"/>
  <rowBreaks count="2" manualBreakCount="2">
    <brk id="35" max="16383" man="1"/>
    <brk id="7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02"/>
  <sheetViews>
    <sheetView view="pageBreakPreview" topLeftCell="A22" zoomScale="60" zoomScaleNormal="93" workbookViewId="0">
      <pane xSplit="1" topLeftCell="X1" activePane="topRight" state="frozen"/>
      <selection pane="topRight" activeCell="AB45" sqref="AB45"/>
    </sheetView>
  </sheetViews>
  <sheetFormatPr defaultRowHeight="15" outlineLevelCol="1" x14ac:dyDescent="0.25"/>
  <cols>
    <col min="1" max="1" width="47.28515625" style="21" customWidth="1"/>
    <col min="2" max="3" width="12.7109375" style="21" customWidth="1"/>
    <col min="4" max="4" width="12.7109375" style="987" customWidth="1"/>
    <col min="5" max="5" width="11.42578125" style="987" customWidth="1"/>
    <col min="6" max="6" width="12.28515625" style="987" customWidth="1"/>
    <col min="7" max="7" width="11.28515625" style="987" customWidth="1"/>
    <col min="8" max="8" width="12.7109375" style="21" customWidth="1"/>
    <col min="9" max="9" width="11.28515625" style="21" customWidth="1"/>
    <col min="10" max="10" width="13.85546875" style="21" customWidth="1"/>
    <col min="11" max="11" width="15.28515625" style="21" customWidth="1"/>
    <col min="12" max="12" width="16" style="21" hidden="1" customWidth="1" outlineLevel="1"/>
    <col min="13" max="13" width="12.7109375" style="303" hidden="1" customWidth="1" outlineLevel="1"/>
    <col min="14" max="14" width="16" style="303" hidden="1" customWidth="1" outlineLevel="1"/>
    <col min="15" max="16" width="12.7109375" style="303" hidden="1" customWidth="1" outlineLevel="1"/>
    <col min="17" max="17" width="16.140625" style="1245" hidden="1" customWidth="1" outlineLevel="1"/>
    <col min="18" max="18" width="14.42578125" style="303" hidden="1" customWidth="1" outlineLevel="1"/>
    <col min="19" max="20" width="12.7109375" style="303" hidden="1" customWidth="1" outlineLevel="1"/>
    <col min="21" max="21" width="17" style="21" hidden="1" customWidth="1" outlineLevel="1"/>
    <col min="22" max="23" width="12.7109375" style="21" hidden="1" customWidth="1" outlineLevel="1"/>
    <col min="24" max="24" width="12.7109375" style="303" customWidth="1" collapsed="1"/>
    <col min="25" max="25" width="13.85546875" style="303" customWidth="1"/>
    <col min="26" max="27" width="12.7109375" style="21" customWidth="1"/>
    <col min="28" max="28" width="13.85546875" style="21" customWidth="1"/>
    <col min="29" max="16384" width="9.140625" style="21"/>
  </cols>
  <sheetData>
    <row r="2" spans="1:28" x14ac:dyDescent="0.25">
      <c r="A2" s="1432" t="s">
        <v>352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1432"/>
      <c r="Y2" s="1432"/>
      <c r="Z2" s="1432"/>
    </row>
    <row r="3" spans="1:28" x14ac:dyDescent="0.25">
      <c r="A3" s="1432" t="s">
        <v>353</v>
      </c>
      <c r="B3" s="1432"/>
      <c r="C3" s="1432"/>
      <c r="D3" s="1432"/>
      <c r="E3" s="1432"/>
      <c r="F3" s="1432"/>
      <c r="G3" s="1432"/>
      <c r="H3" s="1432"/>
      <c r="I3" s="1432"/>
      <c r="J3" s="1432"/>
      <c r="K3" s="1432"/>
      <c r="L3" s="1432"/>
      <c r="M3" s="1432"/>
      <c r="N3" s="1432"/>
      <c r="O3" s="1432"/>
      <c r="P3" s="1432"/>
      <c r="Q3" s="1432"/>
      <c r="R3" s="1432"/>
      <c r="S3" s="1432"/>
      <c r="T3" s="1432"/>
      <c r="U3" s="1432"/>
      <c r="V3" s="1432"/>
      <c r="W3" s="1432"/>
      <c r="X3" s="1432"/>
      <c r="Y3" s="1432"/>
      <c r="Z3" s="1432"/>
    </row>
    <row r="4" spans="1:28" ht="15.75" thickBot="1" x14ac:dyDescent="0.3">
      <c r="A4" s="1433" t="str">
        <f>'1017-NDRRMO5%'!A3:Y3</f>
        <v>For the Period October 1-31, 2021</v>
      </c>
      <c r="B4" s="1433"/>
      <c r="C4" s="1433"/>
      <c r="D4" s="1433"/>
      <c r="E4" s="1433"/>
      <c r="F4" s="1433"/>
      <c r="G4" s="1433"/>
      <c r="H4" s="1433"/>
      <c r="I4" s="1433"/>
      <c r="J4" s="1433"/>
      <c r="K4" s="1433"/>
      <c r="L4" s="1433"/>
      <c r="M4" s="1433"/>
      <c r="N4" s="1433"/>
      <c r="O4" s="1433"/>
      <c r="P4" s="1433"/>
      <c r="Q4" s="1433"/>
      <c r="R4" s="1433"/>
      <c r="S4" s="1433"/>
      <c r="T4" s="1433"/>
      <c r="U4" s="1433"/>
      <c r="V4" s="1433"/>
      <c r="W4" s="1433"/>
      <c r="X4" s="1433"/>
      <c r="Y4" s="1433"/>
      <c r="Z4" s="1433"/>
    </row>
    <row r="5" spans="1:28" s="745" customFormat="1" ht="39.75" thickTop="1" x14ac:dyDescent="0.25">
      <c r="A5" s="71" t="s">
        <v>347</v>
      </c>
      <c r="B5" s="71" t="s">
        <v>2</v>
      </c>
      <c r="C5" s="71" t="s">
        <v>133</v>
      </c>
      <c r="D5" s="1073" t="s">
        <v>1204</v>
      </c>
      <c r="E5" s="1073" t="s">
        <v>1204</v>
      </c>
      <c r="F5" s="1073" t="s">
        <v>1204</v>
      </c>
      <c r="G5" s="1073" t="s">
        <v>1227</v>
      </c>
      <c r="H5" s="71" t="s">
        <v>1</v>
      </c>
      <c r="I5" s="71" t="s">
        <v>316</v>
      </c>
      <c r="J5" s="71" t="s">
        <v>314</v>
      </c>
      <c r="K5" s="74" t="s">
        <v>346</v>
      </c>
      <c r="L5" s="72"/>
      <c r="M5" s="72"/>
      <c r="N5" s="72"/>
      <c r="O5" s="72"/>
      <c r="P5" s="83"/>
      <c r="Q5" s="74"/>
      <c r="R5" s="83"/>
      <c r="S5" s="83"/>
      <c r="T5" s="83"/>
      <c r="U5" s="83"/>
      <c r="V5" s="83"/>
      <c r="W5" s="83"/>
      <c r="X5" s="74" t="s">
        <v>316</v>
      </c>
      <c r="Y5" s="74" t="s">
        <v>348</v>
      </c>
      <c r="Z5" s="74" t="s">
        <v>1</v>
      </c>
      <c r="AA5" s="74" t="s">
        <v>131</v>
      </c>
      <c r="AB5" s="74" t="s">
        <v>131</v>
      </c>
    </row>
    <row r="6" spans="1:28" s="745" customFormat="1" ht="15.75" thickBot="1" x14ac:dyDescent="0.3">
      <c r="A6" s="721"/>
      <c r="B6" s="721" t="s">
        <v>3</v>
      </c>
      <c r="C6" s="721" t="s">
        <v>134</v>
      </c>
      <c r="D6" s="1009" t="s">
        <v>1391</v>
      </c>
      <c r="E6" s="1009" t="s">
        <v>1184</v>
      </c>
      <c r="F6" s="1146" t="s">
        <v>1354</v>
      </c>
      <c r="G6" s="1100">
        <v>44305</v>
      </c>
      <c r="H6" s="721" t="s">
        <v>314</v>
      </c>
      <c r="I6" s="721" t="s">
        <v>314</v>
      </c>
      <c r="J6" s="721" t="s">
        <v>315</v>
      </c>
      <c r="K6" s="722" t="s">
        <v>315</v>
      </c>
      <c r="L6" s="722" t="s">
        <v>0</v>
      </c>
      <c r="M6" s="722" t="s">
        <v>120</v>
      </c>
      <c r="N6" s="722" t="s">
        <v>121</v>
      </c>
      <c r="O6" s="722" t="s">
        <v>122</v>
      </c>
      <c r="P6" s="722" t="s">
        <v>123</v>
      </c>
      <c r="Q6" s="722" t="s">
        <v>124</v>
      </c>
      <c r="R6" s="722" t="s">
        <v>125</v>
      </c>
      <c r="S6" s="722" t="s">
        <v>126</v>
      </c>
      <c r="T6" s="722" t="s">
        <v>127</v>
      </c>
      <c r="U6" s="722" t="s">
        <v>128</v>
      </c>
      <c r="V6" s="722" t="s">
        <v>129</v>
      </c>
      <c r="W6" s="722" t="s">
        <v>130</v>
      </c>
      <c r="X6" s="722" t="s">
        <v>317</v>
      </c>
      <c r="Y6" s="722" t="s">
        <v>315</v>
      </c>
      <c r="Z6" s="722" t="s">
        <v>317</v>
      </c>
      <c r="AA6" s="722" t="s">
        <v>314</v>
      </c>
      <c r="AB6" s="722" t="s">
        <v>132</v>
      </c>
    </row>
    <row r="7" spans="1:28" ht="15.75" thickTop="1" x14ac:dyDescent="0.25">
      <c r="A7" s="294" t="s">
        <v>364</v>
      </c>
      <c r="B7" s="188"/>
      <c r="C7" s="188"/>
      <c r="D7" s="937"/>
      <c r="E7" s="937"/>
      <c r="F7" s="937"/>
      <c r="G7" s="937"/>
      <c r="H7" s="188"/>
      <c r="I7" s="188"/>
      <c r="J7" s="188"/>
      <c r="K7" s="188"/>
      <c r="L7" s="188"/>
      <c r="M7" s="997"/>
      <c r="N7" s="997"/>
      <c r="O7" s="997"/>
      <c r="P7" s="997"/>
      <c r="Q7" s="1240"/>
      <c r="R7" s="997"/>
      <c r="S7" s="997"/>
      <c r="T7" s="997"/>
      <c r="U7" s="188"/>
      <c r="V7" s="188"/>
      <c r="W7" s="188"/>
      <c r="X7" s="997"/>
      <c r="Y7" s="997"/>
      <c r="Z7" s="188"/>
      <c r="AA7" s="188"/>
      <c r="AB7" s="188"/>
    </row>
    <row r="8" spans="1:28" x14ac:dyDescent="0.25">
      <c r="A8" s="111" t="s">
        <v>214</v>
      </c>
      <c r="B8" s="150"/>
      <c r="C8" s="188"/>
      <c r="D8" s="937"/>
      <c r="E8" s="937"/>
      <c r="F8" s="937"/>
      <c r="G8" s="937"/>
      <c r="H8" s="188"/>
      <c r="I8" s="188"/>
      <c r="J8" s="188"/>
      <c r="K8" s="188"/>
      <c r="L8" s="188"/>
      <c r="M8" s="997"/>
      <c r="N8" s="997"/>
      <c r="O8" s="997"/>
      <c r="P8" s="997"/>
      <c r="Q8" s="1240"/>
      <c r="R8" s="997"/>
      <c r="S8" s="997"/>
      <c r="T8" s="997"/>
      <c r="U8" s="188"/>
      <c r="V8" s="188"/>
      <c r="W8" s="188"/>
      <c r="X8" s="997"/>
      <c r="Y8" s="997"/>
      <c r="Z8" s="40"/>
      <c r="AA8" s="40">
        <f t="shared" ref="AA8:AA30" si="0">K8-Z8</f>
        <v>0</v>
      </c>
      <c r="AB8" s="188"/>
    </row>
    <row r="9" spans="1:28" x14ac:dyDescent="0.25">
      <c r="A9" s="155" t="s">
        <v>139</v>
      </c>
      <c r="B9" s="50" t="s">
        <v>43</v>
      </c>
      <c r="C9" s="52">
        <v>80000</v>
      </c>
      <c r="D9" s="720"/>
      <c r="E9" s="720"/>
      <c r="F9" s="720"/>
      <c r="G9" s="720"/>
      <c r="H9" s="52">
        <f>SUM(C9:G9)</f>
        <v>80000</v>
      </c>
      <c r="I9" s="52">
        <f>H9/12*9</f>
        <v>60000</v>
      </c>
      <c r="J9" s="52">
        <f>H9/12</f>
        <v>6666.666666666667</v>
      </c>
      <c r="K9" s="40">
        <f>I9+J9</f>
        <v>66666.666666666672</v>
      </c>
      <c r="L9" s="188"/>
      <c r="M9" s="997"/>
      <c r="N9" s="997">
        <v>1240</v>
      </c>
      <c r="O9" s="997"/>
      <c r="P9" s="997"/>
      <c r="Q9" s="1240"/>
      <c r="R9" s="1196">
        <v>0</v>
      </c>
      <c r="S9" s="997">
        <f>1192+57100</f>
        <v>58292</v>
      </c>
      <c r="T9" s="997">
        <v>984</v>
      </c>
      <c r="U9" s="188"/>
      <c r="V9" s="188"/>
      <c r="W9" s="188"/>
      <c r="X9" s="997">
        <f>L9+M9+N9+O9+P9+Q9+R9+S9+T9</f>
        <v>60516</v>
      </c>
      <c r="Y9" s="997">
        <f>U9</f>
        <v>0</v>
      </c>
      <c r="Z9" s="40">
        <f>X9+Y9</f>
        <v>60516</v>
      </c>
      <c r="AA9" s="40">
        <f>K9-Z9</f>
        <v>6150.6666666666715</v>
      </c>
      <c r="AB9" s="322">
        <f t="shared" ref="AB9:AB14" si="1">H9-Z9</f>
        <v>19484</v>
      </c>
    </row>
    <row r="10" spans="1:28" x14ac:dyDescent="0.25">
      <c r="A10" s="275" t="s">
        <v>505</v>
      </c>
      <c r="B10" s="50"/>
      <c r="C10" s="52">
        <v>3500</v>
      </c>
      <c r="D10" s="720"/>
      <c r="E10" s="720"/>
      <c r="F10" s="720"/>
      <c r="G10" s="720"/>
      <c r="H10" s="720">
        <f t="shared" ref="H10:H45" si="2">SUM(C10:G10)</f>
        <v>3500</v>
      </c>
      <c r="I10" s="720">
        <f t="shared" ref="I10:I34" si="3">H10/12*9</f>
        <v>2625</v>
      </c>
      <c r="J10" s="52">
        <f t="shared" ref="J10" si="4">H10/12</f>
        <v>291.66666666666669</v>
      </c>
      <c r="K10" s="40">
        <f>I10+J10</f>
        <v>2916.6666666666665</v>
      </c>
      <c r="L10" s="265"/>
      <c r="M10" s="997"/>
      <c r="N10" s="997"/>
      <c r="O10" s="997"/>
      <c r="P10" s="997"/>
      <c r="Q10" s="1240"/>
      <c r="R10" s="997"/>
      <c r="S10" s="997"/>
      <c r="T10" s="997"/>
      <c r="U10" s="188"/>
      <c r="V10" s="188"/>
      <c r="W10" s="188"/>
      <c r="X10" s="997">
        <f t="shared" ref="X10:X34" si="5">L10+M10+N10+O10+P10+Q10+R10+S10+T10</f>
        <v>0</v>
      </c>
      <c r="Y10" s="997">
        <f t="shared" ref="Y10:Y34" si="6">U10</f>
        <v>0</v>
      </c>
      <c r="Z10" s="40">
        <f t="shared" ref="Z10" si="7">X10+Y10</f>
        <v>0</v>
      </c>
      <c r="AA10" s="40">
        <f t="shared" ref="AA10" si="8">K10-Z10</f>
        <v>2916.6666666666665</v>
      </c>
      <c r="AB10" s="322">
        <f t="shared" si="1"/>
        <v>3500</v>
      </c>
    </row>
    <row r="11" spans="1:28" x14ac:dyDescent="0.25">
      <c r="A11" s="62" t="s">
        <v>44</v>
      </c>
      <c r="B11" s="50" t="s">
        <v>140</v>
      </c>
      <c r="C11" s="52"/>
      <c r="D11" s="720"/>
      <c r="E11" s="720"/>
      <c r="F11" s="720"/>
      <c r="G11" s="720"/>
      <c r="H11" s="720">
        <f t="shared" si="2"/>
        <v>0</v>
      </c>
      <c r="I11" s="720">
        <f t="shared" si="3"/>
        <v>0</v>
      </c>
      <c r="J11" s="52"/>
      <c r="K11" s="40"/>
      <c r="L11" s="188"/>
      <c r="M11" s="997"/>
      <c r="N11" s="997"/>
      <c r="O11" s="997"/>
      <c r="P11" s="997"/>
      <c r="Q11" s="1240"/>
      <c r="R11" s="997"/>
      <c r="S11" s="997"/>
      <c r="T11" s="997"/>
      <c r="U11" s="188"/>
      <c r="V11" s="188"/>
      <c r="W11" s="188"/>
      <c r="X11" s="997">
        <f t="shared" si="5"/>
        <v>0</v>
      </c>
      <c r="Y11" s="997">
        <f t="shared" si="6"/>
        <v>0</v>
      </c>
      <c r="Z11" s="40">
        <f t="shared" ref="Z11:Z34" si="9">X11+Y11</f>
        <v>0</v>
      </c>
      <c r="AA11" s="40">
        <f t="shared" si="0"/>
        <v>0</v>
      </c>
      <c r="AB11" s="322">
        <f t="shared" si="1"/>
        <v>0</v>
      </c>
    </row>
    <row r="12" spans="1:28" x14ac:dyDescent="0.25">
      <c r="A12" s="62" t="s">
        <v>215</v>
      </c>
      <c r="B12" s="50"/>
      <c r="C12" s="52">
        <v>30000</v>
      </c>
      <c r="D12" s="720"/>
      <c r="E12" s="720"/>
      <c r="F12" s="720">
        <v>5060</v>
      </c>
      <c r="G12" s="720"/>
      <c r="H12" s="720">
        <f t="shared" si="2"/>
        <v>35060</v>
      </c>
      <c r="I12" s="720">
        <f t="shared" si="3"/>
        <v>26295</v>
      </c>
      <c r="J12" s="52">
        <f t="shared" ref="J12:J34" si="10">H12/12</f>
        <v>2921.6666666666665</v>
      </c>
      <c r="K12" s="40">
        <f>I12+J12</f>
        <v>29216.666666666668</v>
      </c>
      <c r="L12" s="265"/>
      <c r="M12" s="997"/>
      <c r="N12" s="997"/>
      <c r="O12" s="997"/>
      <c r="P12" s="997"/>
      <c r="Q12" s="1240"/>
      <c r="R12" s="997"/>
      <c r="S12" s="997">
        <f>5060+20000</f>
        <v>25060</v>
      </c>
      <c r="T12" s="997">
        <v>5094.5</v>
      </c>
      <c r="U12" s="1277">
        <v>500</v>
      </c>
      <c r="V12" s="188"/>
      <c r="W12" s="188"/>
      <c r="X12" s="997">
        <f t="shared" si="5"/>
        <v>30154.5</v>
      </c>
      <c r="Y12" s="997">
        <f t="shared" si="6"/>
        <v>500</v>
      </c>
      <c r="Z12" s="40">
        <f t="shared" si="9"/>
        <v>30654.5</v>
      </c>
      <c r="AA12" s="40">
        <f t="shared" si="0"/>
        <v>-1437.8333333333321</v>
      </c>
      <c r="AB12" s="322">
        <f t="shared" si="1"/>
        <v>4405.5</v>
      </c>
    </row>
    <row r="13" spans="1:28" x14ac:dyDescent="0.25">
      <c r="A13" s="155" t="s">
        <v>50</v>
      </c>
      <c r="B13" s="54" t="s">
        <v>51</v>
      </c>
      <c r="C13" s="52"/>
      <c r="D13" s="720"/>
      <c r="E13" s="720"/>
      <c r="F13" s="720"/>
      <c r="G13" s="720"/>
      <c r="H13" s="720">
        <f t="shared" si="2"/>
        <v>0</v>
      </c>
      <c r="I13" s="720">
        <f t="shared" si="3"/>
        <v>0</v>
      </c>
      <c r="J13" s="52">
        <f t="shared" si="10"/>
        <v>0</v>
      </c>
      <c r="K13" s="40">
        <f>I13+J13</f>
        <v>0</v>
      </c>
      <c r="L13" s="265"/>
      <c r="M13" s="997"/>
      <c r="N13" s="997"/>
      <c r="O13" s="997"/>
      <c r="P13" s="997"/>
      <c r="Q13" s="1240"/>
      <c r="R13" s="997"/>
      <c r="S13" s="997"/>
      <c r="T13" s="997"/>
      <c r="U13" s="188"/>
      <c r="V13" s="188"/>
      <c r="W13" s="188"/>
      <c r="X13" s="997">
        <f t="shared" si="5"/>
        <v>0</v>
      </c>
      <c r="Y13" s="997">
        <f t="shared" si="6"/>
        <v>0</v>
      </c>
      <c r="Z13" s="40">
        <f t="shared" si="9"/>
        <v>0</v>
      </c>
      <c r="AA13" s="40">
        <f t="shared" si="0"/>
        <v>0</v>
      </c>
      <c r="AB13" s="322">
        <f t="shared" si="1"/>
        <v>0</v>
      </c>
    </row>
    <row r="14" spans="1:28" x14ac:dyDescent="0.25">
      <c r="A14" s="155" t="s">
        <v>216</v>
      </c>
      <c r="B14" s="54"/>
      <c r="C14" s="52">
        <v>21100</v>
      </c>
      <c r="D14" s="720"/>
      <c r="E14" s="720"/>
      <c r="F14" s="720"/>
      <c r="G14" s="720"/>
      <c r="H14" s="720">
        <f t="shared" si="2"/>
        <v>21100</v>
      </c>
      <c r="I14" s="720">
        <f t="shared" si="3"/>
        <v>15825</v>
      </c>
      <c r="J14" s="52">
        <f t="shared" si="10"/>
        <v>1758.3333333333333</v>
      </c>
      <c r="K14" s="40">
        <f>I14+J14</f>
        <v>17583.333333333332</v>
      </c>
      <c r="L14" s="265"/>
      <c r="M14" s="997"/>
      <c r="N14" s="997">
        <v>3641</v>
      </c>
      <c r="O14" s="997"/>
      <c r="P14" s="997"/>
      <c r="Q14" s="1240">
        <v>4011</v>
      </c>
      <c r="R14" s="997">
        <v>0</v>
      </c>
      <c r="S14" s="997">
        <v>2947</v>
      </c>
      <c r="T14" s="997">
        <v>2894</v>
      </c>
      <c r="U14" s="188"/>
      <c r="V14" s="188"/>
      <c r="W14" s="188"/>
      <c r="X14" s="997">
        <f t="shared" si="5"/>
        <v>13493</v>
      </c>
      <c r="Y14" s="997">
        <f t="shared" si="6"/>
        <v>0</v>
      </c>
      <c r="Z14" s="40">
        <f t="shared" si="9"/>
        <v>13493</v>
      </c>
      <c r="AA14" s="40">
        <f t="shared" si="0"/>
        <v>4090.3333333333321</v>
      </c>
      <c r="AB14" s="322">
        <f t="shared" si="1"/>
        <v>7607</v>
      </c>
    </row>
    <row r="15" spans="1:28" x14ac:dyDescent="0.25">
      <c r="A15" s="138" t="s">
        <v>506</v>
      </c>
      <c r="B15" s="54"/>
      <c r="C15" s="52">
        <v>2500</v>
      </c>
      <c r="D15" s="720"/>
      <c r="E15" s="720"/>
      <c r="F15" s="720"/>
      <c r="G15" s="720"/>
      <c r="H15" s="720">
        <f t="shared" si="2"/>
        <v>2500</v>
      </c>
      <c r="I15" s="720">
        <f t="shared" si="3"/>
        <v>1875</v>
      </c>
      <c r="J15" s="52">
        <f t="shared" ref="J15:J16" si="11">H15/12</f>
        <v>208.33333333333334</v>
      </c>
      <c r="K15" s="40">
        <f t="shared" ref="K15:K16" si="12">I15+J15</f>
        <v>2083.3333333333335</v>
      </c>
      <c r="L15" s="265"/>
      <c r="M15" s="997"/>
      <c r="N15" s="997"/>
      <c r="O15" s="997"/>
      <c r="P15" s="997"/>
      <c r="Q15" s="1240"/>
      <c r="R15" s="997"/>
      <c r="S15" s="997"/>
      <c r="T15" s="997"/>
      <c r="U15" s="188"/>
      <c r="V15" s="188"/>
      <c r="W15" s="188"/>
      <c r="X15" s="997">
        <f t="shared" si="5"/>
        <v>0</v>
      </c>
      <c r="Y15" s="997">
        <f t="shared" si="6"/>
        <v>0</v>
      </c>
      <c r="Z15" s="40">
        <f t="shared" ref="Z15:Z16" si="13">X15+Y15</f>
        <v>0</v>
      </c>
      <c r="AA15" s="40">
        <f t="shared" ref="AA15:AA16" si="14">K15-Z15</f>
        <v>2083.3333333333335</v>
      </c>
      <c r="AB15" s="322">
        <f t="shared" ref="AB15:AB16" si="15">H15-Z15</f>
        <v>2500</v>
      </c>
    </row>
    <row r="16" spans="1:28" x14ac:dyDescent="0.25">
      <c r="A16" s="275" t="s">
        <v>505</v>
      </c>
      <c r="B16" s="54"/>
      <c r="C16" s="52">
        <v>1500</v>
      </c>
      <c r="D16" s="720"/>
      <c r="E16" s="720"/>
      <c r="F16" s="720"/>
      <c r="G16" s="720"/>
      <c r="H16" s="720">
        <f t="shared" si="2"/>
        <v>1500</v>
      </c>
      <c r="I16" s="720">
        <f t="shared" si="3"/>
        <v>1125</v>
      </c>
      <c r="J16" s="52">
        <f t="shared" si="11"/>
        <v>125</v>
      </c>
      <c r="K16" s="40">
        <f t="shared" si="12"/>
        <v>1250</v>
      </c>
      <c r="L16" s="265"/>
      <c r="M16" s="997"/>
      <c r="N16" s="997"/>
      <c r="O16" s="997"/>
      <c r="P16" s="997"/>
      <c r="Q16" s="1240"/>
      <c r="R16" s="997"/>
      <c r="S16" s="997"/>
      <c r="T16" s="997"/>
      <c r="U16" s="188"/>
      <c r="V16" s="188"/>
      <c r="W16" s="188"/>
      <c r="X16" s="997">
        <f t="shared" si="5"/>
        <v>0</v>
      </c>
      <c r="Y16" s="997">
        <f t="shared" si="6"/>
        <v>0</v>
      </c>
      <c r="Z16" s="40">
        <f t="shared" si="13"/>
        <v>0</v>
      </c>
      <c r="AA16" s="40">
        <f t="shared" si="14"/>
        <v>1250</v>
      </c>
      <c r="AB16" s="322">
        <f t="shared" si="15"/>
        <v>1500</v>
      </c>
    </row>
    <row r="17" spans="1:28" x14ac:dyDescent="0.25">
      <c r="A17" s="275" t="s">
        <v>507</v>
      </c>
      <c r="B17" s="54"/>
      <c r="C17" s="52">
        <v>5000</v>
      </c>
      <c r="D17" s="720"/>
      <c r="E17" s="720"/>
      <c r="F17" s="720"/>
      <c r="G17" s="720"/>
      <c r="H17" s="720">
        <f t="shared" si="2"/>
        <v>5000</v>
      </c>
      <c r="I17" s="720">
        <f t="shared" si="3"/>
        <v>3750</v>
      </c>
      <c r="J17" s="52">
        <f t="shared" ref="J17" si="16">H17/12</f>
        <v>416.66666666666669</v>
      </c>
      <c r="K17" s="40">
        <f t="shared" ref="K17" si="17">I17+J17</f>
        <v>4166.666666666667</v>
      </c>
      <c r="L17" s="265"/>
      <c r="M17" s="997"/>
      <c r="N17" s="997"/>
      <c r="O17" s="997"/>
      <c r="P17" s="997"/>
      <c r="Q17" s="1240"/>
      <c r="R17" s="997"/>
      <c r="S17" s="997"/>
      <c r="T17" s="997"/>
      <c r="U17" s="188"/>
      <c r="V17" s="188"/>
      <c r="W17" s="188"/>
      <c r="X17" s="997">
        <f t="shared" si="5"/>
        <v>0</v>
      </c>
      <c r="Y17" s="997">
        <f t="shared" si="6"/>
        <v>0</v>
      </c>
      <c r="Z17" s="40">
        <f t="shared" ref="Z17" si="18">X17+Y17</f>
        <v>0</v>
      </c>
      <c r="AA17" s="40">
        <f t="shared" ref="AA17" si="19">K17-Z17</f>
        <v>4166.666666666667</v>
      </c>
      <c r="AB17" s="322">
        <f t="shared" ref="AB17" si="20">H17-Z17</f>
        <v>5000</v>
      </c>
    </row>
    <row r="18" spans="1:28" x14ac:dyDescent="0.25">
      <c r="A18" s="62" t="s">
        <v>178</v>
      </c>
      <c r="B18" s="50" t="s">
        <v>60</v>
      </c>
      <c r="C18" s="52">
        <v>12000</v>
      </c>
      <c r="D18" s="720"/>
      <c r="E18" s="720"/>
      <c r="F18" s="720"/>
      <c r="G18" s="720"/>
      <c r="H18" s="720">
        <f t="shared" si="2"/>
        <v>12000</v>
      </c>
      <c r="I18" s="720">
        <f t="shared" si="3"/>
        <v>9000</v>
      </c>
      <c r="J18" s="52">
        <f t="shared" si="10"/>
        <v>1000</v>
      </c>
      <c r="K18" s="40">
        <f>I18+J18</f>
        <v>10000</v>
      </c>
      <c r="L18" s="265">
        <v>1000</v>
      </c>
      <c r="M18" s="997">
        <v>1000</v>
      </c>
      <c r="N18" s="997">
        <v>999</v>
      </c>
      <c r="O18" s="997">
        <v>1000</v>
      </c>
      <c r="P18" s="997">
        <v>1000</v>
      </c>
      <c r="Q18" s="1240">
        <v>999</v>
      </c>
      <c r="R18" s="997">
        <v>1000</v>
      </c>
      <c r="S18" s="997">
        <v>1000</v>
      </c>
      <c r="T18" s="997">
        <v>998.01</v>
      </c>
      <c r="U18" s="188">
        <v>555.44000000000005</v>
      </c>
      <c r="V18" s="188"/>
      <c r="W18" s="188"/>
      <c r="X18" s="997">
        <f t="shared" si="5"/>
        <v>8996.01</v>
      </c>
      <c r="Y18" s="997">
        <f t="shared" si="6"/>
        <v>555.44000000000005</v>
      </c>
      <c r="Z18" s="40">
        <f t="shared" si="9"/>
        <v>9551.4500000000007</v>
      </c>
      <c r="AA18" s="40">
        <f t="shared" si="0"/>
        <v>448.54999999999927</v>
      </c>
      <c r="AB18" s="322">
        <f>H18-Z18</f>
        <v>2448.5499999999993</v>
      </c>
    </row>
    <row r="19" spans="1:28" x14ac:dyDescent="0.25">
      <c r="A19" s="62" t="s">
        <v>151</v>
      </c>
      <c r="B19" s="50" t="s">
        <v>62</v>
      </c>
      <c r="C19" s="52">
        <v>20000</v>
      </c>
      <c r="D19" s="720"/>
      <c r="E19" s="720"/>
      <c r="F19" s="720"/>
      <c r="G19" s="720"/>
      <c r="H19" s="720">
        <f t="shared" si="2"/>
        <v>20000</v>
      </c>
      <c r="I19" s="720">
        <f t="shared" si="3"/>
        <v>15000</v>
      </c>
      <c r="J19" s="52">
        <f t="shared" si="10"/>
        <v>1666.6666666666667</v>
      </c>
      <c r="K19" s="40">
        <f>I19+J19</f>
        <v>16666.666666666668</v>
      </c>
      <c r="L19" s="265">
        <v>1237.18</v>
      </c>
      <c r="M19" s="997">
        <v>1398</v>
      </c>
      <c r="N19" s="997">
        <v>1398</v>
      </c>
      <c r="O19" s="997">
        <v>1335.59</v>
      </c>
      <c r="P19" s="997">
        <v>1345.29</v>
      </c>
      <c r="Q19" s="1240">
        <v>1371.8</v>
      </c>
      <c r="R19" s="997">
        <v>1396.83</v>
      </c>
      <c r="S19" s="997">
        <v>1374.37</v>
      </c>
      <c r="T19" s="997">
        <v>1458.96</v>
      </c>
      <c r="U19" s="188">
        <v>1398</v>
      </c>
      <c r="V19" s="188"/>
      <c r="W19" s="188"/>
      <c r="X19" s="997">
        <f t="shared" si="5"/>
        <v>12316.02</v>
      </c>
      <c r="Y19" s="997">
        <f t="shared" si="6"/>
        <v>1398</v>
      </c>
      <c r="Z19" s="40">
        <f t="shared" si="9"/>
        <v>13714.02</v>
      </c>
      <c r="AA19" s="40">
        <f t="shared" si="0"/>
        <v>2952.6466666666674</v>
      </c>
      <c r="AB19" s="322">
        <f>H19-Z19</f>
        <v>6285.98</v>
      </c>
    </row>
    <row r="20" spans="1:28" x14ac:dyDescent="0.25">
      <c r="A20" s="155" t="s">
        <v>217</v>
      </c>
      <c r="B20" s="54" t="s">
        <v>70</v>
      </c>
      <c r="C20" s="52"/>
      <c r="D20" s="720"/>
      <c r="E20" s="720"/>
      <c r="F20" s="720"/>
      <c r="G20" s="720"/>
      <c r="H20" s="720">
        <f t="shared" si="2"/>
        <v>0</v>
      </c>
      <c r="I20" s="720">
        <f t="shared" si="3"/>
        <v>0</v>
      </c>
      <c r="J20" s="52">
        <f t="shared" si="10"/>
        <v>0</v>
      </c>
      <c r="K20" s="40">
        <f>I20+J20</f>
        <v>0</v>
      </c>
      <c r="L20" s="265"/>
      <c r="M20" s="997"/>
      <c r="N20" s="997"/>
      <c r="O20" s="997"/>
      <c r="P20" s="997"/>
      <c r="Q20" s="1240"/>
      <c r="R20" s="997"/>
      <c r="S20" s="997"/>
      <c r="T20" s="997"/>
      <c r="U20" s="188"/>
      <c r="V20" s="188"/>
      <c r="W20" s="188"/>
      <c r="X20" s="997">
        <f t="shared" si="5"/>
        <v>0</v>
      </c>
      <c r="Y20" s="997">
        <f t="shared" si="6"/>
        <v>0</v>
      </c>
      <c r="Z20" s="40">
        <f t="shared" si="9"/>
        <v>0</v>
      </c>
      <c r="AA20" s="40">
        <f t="shared" si="0"/>
        <v>0</v>
      </c>
      <c r="AB20" s="322">
        <f>H20-Z20</f>
        <v>0</v>
      </c>
    </row>
    <row r="21" spans="1:28" x14ac:dyDescent="0.25">
      <c r="A21" s="275" t="s">
        <v>371</v>
      </c>
      <c r="B21" s="50"/>
      <c r="C21" s="52">
        <v>175200</v>
      </c>
      <c r="D21" s="720"/>
      <c r="E21" s="720"/>
      <c r="F21" s="720"/>
      <c r="G21" s="720"/>
      <c r="H21" s="720">
        <f t="shared" si="2"/>
        <v>175200</v>
      </c>
      <c r="I21" s="720">
        <f t="shared" si="3"/>
        <v>131400</v>
      </c>
      <c r="J21" s="52">
        <f t="shared" ref="J21:J22" si="21">H21/12</f>
        <v>14600</v>
      </c>
      <c r="K21" s="40">
        <f t="shared" ref="K21:K22" si="22">I21+J21</f>
        <v>146000</v>
      </c>
      <c r="L21" s="265">
        <v>18563.349999999999</v>
      </c>
      <c r="M21" s="997">
        <v>13480.11</v>
      </c>
      <c r="N21" s="997">
        <v>13394.18</v>
      </c>
      <c r="O21" s="997">
        <v>13376.42</v>
      </c>
      <c r="P21" s="997">
        <v>13453.84</v>
      </c>
      <c r="Q21" s="1240">
        <v>14998.19</v>
      </c>
      <c r="R21" s="997">
        <v>9909.52</v>
      </c>
      <c r="S21" s="997">
        <v>13417.87</v>
      </c>
      <c r="T21" s="997">
        <v>13080</v>
      </c>
      <c r="U21" s="188">
        <v>13420</v>
      </c>
      <c r="V21" s="188"/>
      <c r="W21" s="188"/>
      <c r="X21" s="997">
        <f t="shared" si="5"/>
        <v>123673.48</v>
      </c>
      <c r="Y21" s="997">
        <f t="shared" si="6"/>
        <v>13420</v>
      </c>
      <c r="Z21" s="40">
        <f t="shared" ref="Z21:Z22" si="23">X21+Y21</f>
        <v>137093.47999999998</v>
      </c>
      <c r="AA21" s="40">
        <f t="shared" ref="AA21:AA22" si="24">K21-Z21</f>
        <v>8906.5200000000186</v>
      </c>
      <c r="AB21" s="322">
        <f t="shared" ref="AB21:AB22" si="25">H21-Z21</f>
        <v>38106.520000000019</v>
      </c>
    </row>
    <row r="22" spans="1:28" x14ac:dyDescent="0.25">
      <c r="A22" s="275" t="s">
        <v>508</v>
      </c>
      <c r="B22" s="50"/>
      <c r="C22" s="52">
        <v>14400</v>
      </c>
      <c r="D22" s="720"/>
      <c r="E22" s="720"/>
      <c r="F22" s="720"/>
      <c r="G22" s="720"/>
      <c r="H22" s="720">
        <f t="shared" si="2"/>
        <v>14400</v>
      </c>
      <c r="I22" s="720">
        <f t="shared" si="3"/>
        <v>10800</v>
      </c>
      <c r="J22" s="52">
        <f t="shared" si="21"/>
        <v>1200</v>
      </c>
      <c r="K22" s="40">
        <f t="shared" si="22"/>
        <v>12000</v>
      </c>
      <c r="L22" s="265"/>
      <c r="M22" s="997"/>
      <c r="N22" s="997"/>
      <c r="O22" s="997"/>
      <c r="P22" s="997"/>
      <c r="Q22" s="1240"/>
      <c r="R22" s="997"/>
      <c r="S22" s="997"/>
      <c r="T22" s="997"/>
      <c r="U22" s="188"/>
      <c r="V22" s="188"/>
      <c r="W22" s="188"/>
      <c r="X22" s="997">
        <f t="shared" si="5"/>
        <v>0</v>
      </c>
      <c r="Y22" s="997">
        <f t="shared" si="6"/>
        <v>0</v>
      </c>
      <c r="Z22" s="40">
        <f t="shared" si="23"/>
        <v>0</v>
      </c>
      <c r="AA22" s="40">
        <f t="shared" si="24"/>
        <v>12000</v>
      </c>
      <c r="AB22" s="322">
        <f t="shared" si="25"/>
        <v>14400</v>
      </c>
    </row>
    <row r="23" spans="1:28" x14ac:dyDescent="0.25">
      <c r="A23" s="62" t="s">
        <v>142</v>
      </c>
      <c r="B23" s="50" t="s">
        <v>76</v>
      </c>
      <c r="C23" s="52">
        <v>7000</v>
      </c>
      <c r="D23" s="720"/>
      <c r="E23" s="720"/>
      <c r="F23" s="720"/>
      <c r="G23" s="720"/>
      <c r="H23" s="720">
        <f t="shared" si="2"/>
        <v>7000</v>
      </c>
      <c r="I23" s="720">
        <f t="shared" si="3"/>
        <v>5250</v>
      </c>
      <c r="J23" s="52">
        <f t="shared" si="10"/>
        <v>583.33333333333337</v>
      </c>
      <c r="K23" s="40">
        <f t="shared" ref="K23:K30" si="26">I23+J23</f>
        <v>5833.333333333333</v>
      </c>
      <c r="L23" s="265"/>
      <c r="M23" s="997"/>
      <c r="N23" s="997"/>
      <c r="O23" s="997"/>
      <c r="P23" s="997"/>
      <c r="Q23" s="1240"/>
      <c r="R23" s="997"/>
      <c r="S23" s="997"/>
      <c r="T23" s="997"/>
      <c r="U23" s="188"/>
      <c r="V23" s="188"/>
      <c r="W23" s="188"/>
      <c r="X23" s="997">
        <f t="shared" si="5"/>
        <v>0</v>
      </c>
      <c r="Y23" s="997">
        <f t="shared" si="6"/>
        <v>0</v>
      </c>
      <c r="Z23" s="40">
        <f t="shared" si="9"/>
        <v>0</v>
      </c>
      <c r="AA23" s="40">
        <f t="shared" si="0"/>
        <v>5833.333333333333</v>
      </c>
      <c r="AB23" s="322">
        <f t="shared" ref="AB23:AB30" si="27">H23-Z23</f>
        <v>7000</v>
      </c>
    </row>
    <row r="24" spans="1:28" x14ac:dyDescent="0.25">
      <c r="A24" s="62" t="s">
        <v>75</v>
      </c>
      <c r="B24" s="50" t="s">
        <v>76</v>
      </c>
      <c r="C24" s="52">
        <v>7000</v>
      </c>
      <c r="D24" s="720"/>
      <c r="E24" s="720"/>
      <c r="F24" s="720"/>
      <c r="G24" s="720"/>
      <c r="H24" s="720">
        <f t="shared" si="2"/>
        <v>7000</v>
      </c>
      <c r="I24" s="720">
        <f t="shared" si="3"/>
        <v>5250</v>
      </c>
      <c r="J24" s="52">
        <f t="shared" si="10"/>
        <v>583.33333333333337</v>
      </c>
      <c r="K24" s="40">
        <f t="shared" si="26"/>
        <v>5833.333333333333</v>
      </c>
      <c r="L24" s="265"/>
      <c r="M24" s="997"/>
      <c r="N24" s="997"/>
      <c r="O24" s="997"/>
      <c r="P24" s="997"/>
      <c r="Q24" s="1240"/>
      <c r="R24" s="997"/>
      <c r="S24" s="997"/>
      <c r="T24" s="997"/>
      <c r="U24" s="188"/>
      <c r="V24" s="188"/>
      <c r="W24" s="188"/>
      <c r="X24" s="997">
        <f t="shared" si="5"/>
        <v>0</v>
      </c>
      <c r="Y24" s="997">
        <f t="shared" si="6"/>
        <v>0</v>
      </c>
      <c r="Z24" s="40">
        <f t="shared" si="9"/>
        <v>0</v>
      </c>
      <c r="AA24" s="40">
        <f t="shared" si="0"/>
        <v>5833.333333333333</v>
      </c>
      <c r="AB24" s="322">
        <f t="shared" si="27"/>
        <v>7000</v>
      </c>
    </row>
    <row r="25" spans="1:28" x14ac:dyDescent="0.25">
      <c r="A25" s="62" t="s">
        <v>536</v>
      </c>
      <c r="B25" s="50" t="s">
        <v>81</v>
      </c>
      <c r="C25" s="52"/>
      <c r="D25" s="720"/>
      <c r="E25" s="720"/>
      <c r="F25" s="720"/>
      <c r="G25" s="720"/>
      <c r="H25" s="720">
        <f t="shared" si="2"/>
        <v>0</v>
      </c>
      <c r="I25" s="720">
        <f t="shared" si="3"/>
        <v>0</v>
      </c>
      <c r="J25" s="52"/>
      <c r="K25" s="40"/>
      <c r="L25" s="265"/>
      <c r="M25" s="997"/>
      <c r="N25" s="997"/>
      <c r="O25" s="997"/>
      <c r="P25" s="997"/>
      <c r="Q25" s="1240"/>
      <c r="R25" s="997"/>
      <c r="S25" s="997"/>
      <c r="T25" s="997"/>
      <c r="U25" s="188"/>
      <c r="V25" s="188"/>
      <c r="W25" s="188"/>
      <c r="X25" s="997">
        <f t="shared" si="5"/>
        <v>0</v>
      </c>
      <c r="Y25" s="997">
        <f t="shared" si="6"/>
        <v>0</v>
      </c>
      <c r="Z25" s="40">
        <f t="shared" ref="Z25:Z27" si="28">X25+Y25</f>
        <v>0</v>
      </c>
      <c r="AA25" s="40">
        <f t="shared" ref="AA25:AA27" si="29">K25-Z25</f>
        <v>0</v>
      </c>
      <c r="AB25" s="322">
        <f t="shared" ref="AB25:AB27" si="30">H25-Z25</f>
        <v>0</v>
      </c>
    </row>
    <row r="26" spans="1:28" x14ac:dyDescent="0.25">
      <c r="A26" s="403" t="s">
        <v>537</v>
      </c>
      <c r="B26" s="50"/>
      <c r="C26" s="52">
        <v>10780</v>
      </c>
      <c r="D26" s="720"/>
      <c r="E26" s="720"/>
      <c r="F26" s="720"/>
      <c r="G26" s="720"/>
      <c r="H26" s="720">
        <f t="shared" si="2"/>
        <v>10780</v>
      </c>
      <c r="I26" s="720">
        <f t="shared" si="3"/>
        <v>8085</v>
      </c>
      <c r="J26" s="52">
        <f t="shared" ref="J26" si="31">H26/12</f>
        <v>898.33333333333337</v>
      </c>
      <c r="K26" s="40">
        <f t="shared" ref="K26" si="32">I26+J26</f>
        <v>8983.3333333333339</v>
      </c>
      <c r="L26" s="265"/>
      <c r="M26" s="997"/>
      <c r="N26" s="997"/>
      <c r="O26" s="997"/>
      <c r="P26" s="997"/>
      <c r="Q26" s="1240"/>
      <c r="R26" s="997"/>
      <c r="S26" s="997"/>
      <c r="T26" s="997"/>
      <c r="U26" s="188"/>
      <c r="V26" s="188"/>
      <c r="W26" s="188"/>
      <c r="X26" s="997">
        <f t="shared" si="5"/>
        <v>0</v>
      </c>
      <c r="Y26" s="997">
        <f t="shared" si="6"/>
        <v>0</v>
      </c>
      <c r="Z26" s="40">
        <f t="shared" si="28"/>
        <v>0</v>
      </c>
      <c r="AA26" s="40">
        <f t="shared" si="29"/>
        <v>8983.3333333333339</v>
      </c>
      <c r="AB26" s="322">
        <f t="shared" si="30"/>
        <v>10780</v>
      </c>
    </row>
    <row r="27" spans="1:28" x14ac:dyDescent="0.25">
      <c r="A27" s="49" t="s">
        <v>86</v>
      </c>
      <c r="B27" s="50" t="s">
        <v>87</v>
      </c>
      <c r="C27" s="52"/>
      <c r="D27" s="720"/>
      <c r="E27" s="720"/>
      <c r="F27" s="720"/>
      <c r="G27" s="720"/>
      <c r="H27" s="720">
        <f t="shared" si="2"/>
        <v>0</v>
      </c>
      <c r="I27" s="720">
        <f t="shared" si="3"/>
        <v>0</v>
      </c>
      <c r="J27" s="52">
        <f t="shared" si="10"/>
        <v>0</v>
      </c>
      <c r="K27" s="40">
        <f t="shared" si="26"/>
        <v>0</v>
      </c>
      <c r="L27" s="265"/>
      <c r="M27" s="997"/>
      <c r="N27" s="997"/>
      <c r="O27" s="997"/>
      <c r="P27" s="997"/>
      <c r="Q27" s="1240"/>
      <c r="R27" s="997"/>
      <c r="S27" s="997"/>
      <c r="T27" s="997"/>
      <c r="U27" s="188"/>
      <c r="V27" s="188"/>
      <c r="W27" s="188"/>
      <c r="X27" s="997">
        <f t="shared" si="5"/>
        <v>0</v>
      </c>
      <c r="Y27" s="997">
        <f t="shared" si="6"/>
        <v>0</v>
      </c>
      <c r="Z27" s="40">
        <f t="shared" si="28"/>
        <v>0</v>
      </c>
      <c r="AA27" s="40">
        <f t="shared" si="29"/>
        <v>0</v>
      </c>
      <c r="AB27" s="322">
        <f t="shared" si="30"/>
        <v>0</v>
      </c>
    </row>
    <row r="28" spans="1:28" x14ac:dyDescent="0.25">
      <c r="A28" s="49" t="s">
        <v>218</v>
      </c>
      <c r="B28" s="50"/>
      <c r="C28" s="52">
        <v>5000</v>
      </c>
      <c r="D28" s="720"/>
      <c r="E28" s="720"/>
      <c r="F28" s="720"/>
      <c r="G28" s="720"/>
      <c r="H28" s="720">
        <f t="shared" si="2"/>
        <v>5000</v>
      </c>
      <c r="I28" s="720">
        <f t="shared" si="3"/>
        <v>3750</v>
      </c>
      <c r="J28" s="52">
        <f t="shared" si="10"/>
        <v>416.66666666666669</v>
      </c>
      <c r="K28" s="40">
        <f t="shared" si="26"/>
        <v>4166.666666666667</v>
      </c>
      <c r="L28" s="265"/>
      <c r="M28" s="997"/>
      <c r="N28" s="997"/>
      <c r="O28" s="997"/>
      <c r="P28" s="997"/>
      <c r="Q28" s="1240"/>
      <c r="R28" s="997"/>
      <c r="S28" s="997">
        <v>915</v>
      </c>
      <c r="T28" s="997"/>
      <c r="U28" s="188"/>
      <c r="V28" s="188"/>
      <c r="W28" s="188"/>
      <c r="X28" s="997">
        <f t="shared" si="5"/>
        <v>915</v>
      </c>
      <c r="Y28" s="997">
        <f t="shared" si="6"/>
        <v>0</v>
      </c>
      <c r="Z28" s="40">
        <f t="shared" si="9"/>
        <v>915</v>
      </c>
      <c r="AA28" s="40">
        <f t="shared" si="0"/>
        <v>3251.666666666667</v>
      </c>
      <c r="AB28" s="322">
        <f t="shared" si="27"/>
        <v>4085</v>
      </c>
    </row>
    <row r="29" spans="1:28" x14ac:dyDescent="0.25">
      <c r="A29" s="49" t="s">
        <v>154</v>
      </c>
      <c r="B29" s="50" t="s">
        <v>93</v>
      </c>
      <c r="C29" s="52"/>
      <c r="D29" s="720"/>
      <c r="E29" s="720"/>
      <c r="F29" s="720"/>
      <c r="G29" s="720"/>
      <c r="H29" s="720">
        <f t="shared" si="2"/>
        <v>0</v>
      </c>
      <c r="I29" s="720">
        <f t="shared" si="3"/>
        <v>0</v>
      </c>
      <c r="J29" s="52">
        <f t="shared" si="10"/>
        <v>0</v>
      </c>
      <c r="K29" s="40">
        <f t="shared" si="26"/>
        <v>0</v>
      </c>
      <c r="L29" s="188"/>
      <c r="M29" s="997"/>
      <c r="N29" s="997"/>
      <c r="O29" s="997"/>
      <c r="P29" s="997"/>
      <c r="Q29" s="1240"/>
      <c r="R29" s="997"/>
      <c r="S29" s="997"/>
      <c r="T29" s="997"/>
      <c r="U29" s="188"/>
      <c r="V29" s="188"/>
      <c r="W29" s="188"/>
      <c r="X29" s="997">
        <f t="shared" si="5"/>
        <v>0</v>
      </c>
      <c r="Y29" s="997">
        <f t="shared" si="6"/>
        <v>0</v>
      </c>
      <c r="Z29" s="40">
        <f t="shared" si="9"/>
        <v>0</v>
      </c>
      <c r="AA29" s="40">
        <f t="shared" si="0"/>
        <v>0</v>
      </c>
      <c r="AB29" s="322">
        <f t="shared" si="27"/>
        <v>0</v>
      </c>
    </row>
    <row r="30" spans="1:28" x14ac:dyDescent="0.25">
      <c r="A30" s="49" t="s">
        <v>219</v>
      </c>
      <c r="B30" s="50"/>
      <c r="C30" s="52">
        <v>35000</v>
      </c>
      <c r="D30" s="720"/>
      <c r="E30" s="720"/>
      <c r="F30" s="720"/>
      <c r="G30" s="720"/>
      <c r="H30" s="720">
        <f t="shared" si="2"/>
        <v>35000</v>
      </c>
      <c r="I30" s="720">
        <f t="shared" si="3"/>
        <v>26250</v>
      </c>
      <c r="J30" s="52">
        <f t="shared" si="10"/>
        <v>2916.6666666666665</v>
      </c>
      <c r="K30" s="40">
        <f t="shared" si="26"/>
        <v>29166.666666666668</v>
      </c>
      <c r="L30" s="188"/>
      <c r="M30" s="997">
        <v>3195</v>
      </c>
      <c r="N30" s="997">
        <v>420</v>
      </c>
      <c r="O30" s="997">
        <v>1015</v>
      </c>
      <c r="P30" s="997">
        <v>17080</v>
      </c>
      <c r="Q30" s="1240">
        <v>7200</v>
      </c>
      <c r="R30" s="997"/>
      <c r="S30" s="997">
        <v>930</v>
      </c>
      <c r="T30" s="997"/>
      <c r="U30" s="188"/>
      <c r="V30" s="188"/>
      <c r="W30" s="188"/>
      <c r="X30" s="997">
        <f t="shared" si="5"/>
        <v>29840</v>
      </c>
      <c r="Y30" s="997">
        <f t="shared" si="6"/>
        <v>0</v>
      </c>
      <c r="Z30" s="40">
        <f t="shared" si="9"/>
        <v>29840</v>
      </c>
      <c r="AA30" s="40">
        <f t="shared" si="0"/>
        <v>-673.33333333333212</v>
      </c>
      <c r="AB30" s="322">
        <f t="shared" si="27"/>
        <v>5160</v>
      </c>
    </row>
    <row r="31" spans="1:28" x14ac:dyDescent="0.25">
      <c r="A31" s="138" t="s">
        <v>506</v>
      </c>
      <c r="B31" s="50"/>
      <c r="C31" s="52">
        <v>2500</v>
      </c>
      <c r="D31" s="720"/>
      <c r="E31" s="720"/>
      <c r="F31" s="720"/>
      <c r="G31" s="720"/>
      <c r="H31" s="720">
        <f t="shared" si="2"/>
        <v>2500</v>
      </c>
      <c r="I31" s="720">
        <f t="shared" si="3"/>
        <v>1875</v>
      </c>
      <c r="J31" s="52">
        <f t="shared" ref="J31:J32" si="33">H31/12</f>
        <v>208.33333333333334</v>
      </c>
      <c r="K31" s="40">
        <f t="shared" ref="K31:K32" si="34">I31+J31</f>
        <v>2083.3333333333335</v>
      </c>
      <c r="L31" s="188"/>
      <c r="M31" s="997"/>
      <c r="N31" s="997"/>
      <c r="O31" s="997"/>
      <c r="P31" s="997"/>
      <c r="Q31" s="1240"/>
      <c r="R31" s="997"/>
      <c r="S31" s="997"/>
      <c r="T31" s="997"/>
      <c r="U31" s="188"/>
      <c r="V31" s="188"/>
      <c r="W31" s="188"/>
      <c r="X31" s="997">
        <f t="shared" si="5"/>
        <v>0</v>
      </c>
      <c r="Y31" s="997">
        <f t="shared" si="6"/>
        <v>0</v>
      </c>
      <c r="Z31" s="40">
        <f t="shared" ref="Z31:Z32" si="35">X31+Y31</f>
        <v>0</v>
      </c>
      <c r="AA31" s="40">
        <f t="shared" ref="AA31:AA32" si="36">K31-Z31</f>
        <v>2083.3333333333335</v>
      </c>
      <c r="AB31" s="322">
        <f t="shared" ref="AB31:AB32" si="37">H31-Z31</f>
        <v>2500</v>
      </c>
    </row>
    <row r="32" spans="1:28" x14ac:dyDescent="0.25">
      <c r="A32" s="275" t="s">
        <v>507</v>
      </c>
      <c r="B32" s="50"/>
      <c r="C32" s="52">
        <v>10000</v>
      </c>
      <c r="D32" s="720"/>
      <c r="E32" s="720"/>
      <c r="F32" s="720"/>
      <c r="G32" s="720"/>
      <c r="H32" s="720">
        <f t="shared" si="2"/>
        <v>10000</v>
      </c>
      <c r="I32" s="720">
        <f t="shared" si="3"/>
        <v>7500</v>
      </c>
      <c r="J32" s="52">
        <f t="shared" si="33"/>
        <v>833.33333333333337</v>
      </c>
      <c r="K32" s="40">
        <f t="shared" si="34"/>
        <v>8333.3333333333339</v>
      </c>
      <c r="L32" s="188"/>
      <c r="M32" s="997"/>
      <c r="N32" s="997"/>
      <c r="O32" s="997"/>
      <c r="P32" s="997"/>
      <c r="Q32" s="1240"/>
      <c r="R32" s="997"/>
      <c r="S32" s="997"/>
      <c r="T32" s="997"/>
      <c r="U32" s="188"/>
      <c r="V32" s="188"/>
      <c r="W32" s="188"/>
      <c r="X32" s="997">
        <f t="shared" si="5"/>
        <v>0</v>
      </c>
      <c r="Y32" s="997">
        <f t="shared" si="6"/>
        <v>0</v>
      </c>
      <c r="Z32" s="40">
        <f t="shared" si="35"/>
        <v>0</v>
      </c>
      <c r="AA32" s="40">
        <f t="shared" si="36"/>
        <v>8333.3333333333339</v>
      </c>
      <c r="AB32" s="322">
        <f t="shared" si="37"/>
        <v>10000</v>
      </c>
    </row>
    <row r="33" spans="1:28" x14ac:dyDescent="0.25">
      <c r="A33" s="155" t="s">
        <v>274</v>
      </c>
      <c r="B33" s="54" t="s">
        <v>104</v>
      </c>
      <c r="C33" s="52"/>
      <c r="D33" s="720"/>
      <c r="E33" s="720"/>
      <c r="F33" s="720"/>
      <c r="G33" s="720"/>
      <c r="H33" s="720">
        <f t="shared" si="2"/>
        <v>0</v>
      </c>
      <c r="I33" s="720">
        <f t="shared" si="3"/>
        <v>0</v>
      </c>
      <c r="J33" s="52">
        <f t="shared" si="10"/>
        <v>0</v>
      </c>
      <c r="K33" s="40">
        <f>I33+J33</f>
        <v>0</v>
      </c>
      <c r="L33" s="188"/>
      <c r="M33" s="997"/>
      <c r="N33" s="997"/>
      <c r="O33" s="997"/>
      <c r="P33" s="997"/>
      <c r="Q33" s="1240"/>
      <c r="R33" s="997"/>
      <c r="S33" s="997"/>
      <c r="T33" s="997"/>
      <c r="U33" s="188"/>
      <c r="V33" s="188"/>
      <c r="W33" s="188"/>
      <c r="X33" s="997">
        <f t="shared" si="5"/>
        <v>0</v>
      </c>
      <c r="Y33" s="997">
        <f t="shared" si="6"/>
        <v>0</v>
      </c>
      <c r="Z33" s="40">
        <f t="shared" si="9"/>
        <v>0</v>
      </c>
      <c r="AA33" s="40">
        <f>K33-Z33</f>
        <v>0</v>
      </c>
      <c r="AB33" s="322">
        <f>H33-Z33</f>
        <v>0</v>
      </c>
    </row>
    <row r="34" spans="1:28" ht="26.25" x14ac:dyDescent="0.25">
      <c r="A34" s="366" t="s">
        <v>509</v>
      </c>
      <c r="B34" s="50"/>
      <c r="C34" s="52">
        <v>180000</v>
      </c>
      <c r="D34" s="720"/>
      <c r="E34" s="720"/>
      <c r="F34" s="720"/>
      <c r="G34" s="720"/>
      <c r="H34" s="720">
        <f t="shared" si="2"/>
        <v>180000</v>
      </c>
      <c r="I34" s="720">
        <f t="shared" si="3"/>
        <v>135000</v>
      </c>
      <c r="J34" s="52">
        <f t="shared" si="10"/>
        <v>15000</v>
      </c>
      <c r="K34" s="40">
        <f>I34+J34</f>
        <v>150000</v>
      </c>
      <c r="L34" s="188"/>
      <c r="M34" s="997"/>
      <c r="N34" s="997"/>
      <c r="O34" s="997"/>
      <c r="P34" s="997"/>
      <c r="Q34" s="1240"/>
      <c r="R34" s="997"/>
      <c r="S34" s="997"/>
      <c r="T34" s="997"/>
      <c r="U34" s="188"/>
      <c r="V34" s="188"/>
      <c r="W34" s="188"/>
      <c r="X34" s="997">
        <f t="shared" si="5"/>
        <v>0</v>
      </c>
      <c r="Y34" s="997">
        <f t="shared" si="6"/>
        <v>0</v>
      </c>
      <c r="Z34" s="40">
        <f t="shared" si="9"/>
        <v>0</v>
      </c>
      <c r="AA34" s="40">
        <f>K34-Z34</f>
        <v>150000</v>
      </c>
      <c r="AB34" s="322">
        <f>H34-Z34</f>
        <v>180000</v>
      </c>
    </row>
    <row r="35" spans="1:28" s="300" customFormat="1" x14ac:dyDescent="0.25">
      <c r="A35" s="110" t="s">
        <v>108</v>
      </c>
      <c r="B35" s="123"/>
      <c r="C35" s="78">
        <f>SUM(C9:C34)</f>
        <v>622480</v>
      </c>
      <c r="D35" s="726">
        <f>SUM(D9:D34)</f>
        <v>0</v>
      </c>
      <c r="E35" s="726">
        <f>SUM(E9:E34)</f>
        <v>0</v>
      </c>
      <c r="F35" s="726">
        <f>SUM(F9:F34)</f>
        <v>5060</v>
      </c>
      <c r="G35" s="726">
        <f t="shared" ref="G35" si="38">SUM(G9:G34)</f>
        <v>0</v>
      </c>
      <c r="H35" s="726">
        <f>SUM(H9:H34)</f>
        <v>627540</v>
      </c>
      <c r="I35" s="78">
        <f t="shared" ref="I35:AB35" si="39">SUM(I9:I34)</f>
        <v>470655</v>
      </c>
      <c r="J35" s="78">
        <f t="shared" si="39"/>
        <v>52295</v>
      </c>
      <c r="K35" s="78">
        <f t="shared" si="39"/>
        <v>522949.99999999994</v>
      </c>
      <c r="L35" s="78">
        <f t="shared" si="39"/>
        <v>20800.53</v>
      </c>
      <c r="M35" s="726">
        <f t="shared" si="39"/>
        <v>19073.11</v>
      </c>
      <c r="N35" s="726">
        <f t="shared" si="39"/>
        <v>21092.18</v>
      </c>
      <c r="O35" s="726">
        <f t="shared" si="39"/>
        <v>16727.010000000002</v>
      </c>
      <c r="P35" s="726">
        <f t="shared" si="39"/>
        <v>32879.130000000005</v>
      </c>
      <c r="Q35" s="999">
        <f t="shared" si="39"/>
        <v>28579.99</v>
      </c>
      <c r="R35" s="726">
        <f t="shared" si="39"/>
        <v>12306.35</v>
      </c>
      <c r="S35" s="726">
        <f t="shared" si="39"/>
        <v>103936.23999999999</v>
      </c>
      <c r="T35" s="726">
        <f t="shared" si="39"/>
        <v>24509.47</v>
      </c>
      <c r="U35" s="78">
        <f t="shared" si="39"/>
        <v>15873.44</v>
      </c>
      <c r="V35" s="78">
        <f t="shared" si="39"/>
        <v>0</v>
      </c>
      <c r="W35" s="78">
        <f t="shared" si="39"/>
        <v>0</v>
      </c>
      <c r="X35" s="726">
        <f t="shared" si="39"/>
        <v>279904.01</v>
      </c>
      <c r="Y35" s="726">
        <f t="shared" si="39"/>
        <v>15873.44</v>
      </c>
      <c r="Z35" s="78">
        <f t="shared" si="39"/>
        <v>295777.44999999995</v>
      </c>
      <c r="AA35" s="78">
        <f t="shared" si="39"/>
        <v>227172.55000000005</v>
      </c>
      <c r="AB35" s="78">
        <f t="shared" si="39"/>
        <v>331762.55000000005</v>
      </c>
    </row>
    <row r="36" spans="1:28" x14ac:dyDescent="0.25">
      <c r="A36" s="110" t="s">
        <v>109</v>
      </c>
      <c r="B36" s="150"/>
      <c r="C36" s="188"/>
      <c r="D36" s="937"/>
      <c r="E36" s="937"/>
      <c r="F36" s="937"/>
      <c r="G36" s="937"/>
      <c r="H36" s="720">
        <f t="shared" si="2"/>
        <v>0</v>
      </c>
      <c r="I36" s="188"/>
      <c r="J36" s="188"/>
      <c r="K36" s="40"/>
      <c r="L36" s="188"/>
      <c r="M36" s="997"/>
      <c r="N36" s="997"/>
      <c r="O36" s="997"/>
      <c r="P36" s="997"/>
      <c r="Q36" s="1240"/>
      <c r="R36" s="997"/>
      <c r="S36" s="997"/>
      <c r="T36" s="997"/>
      <c r="U36" s="188"/>
      <c r="V36" s="188"/>
      <c r="W36" s="188"/>
      <c r="X36" s="997"/>
      <c r="Y36" s="997"/>
      <c r="Z36" s="188"/>
      <c r="AA36" s="188"/>
      <c r="AB36" s="188"/>
    </row>
    <row r="37" spans="1:28" s="745" customFormat="1" x14ac:dyDescent="0.25">
      <c r="A37" s="829" t="s">
        <v>1093</v>
      </c>
      <c r="B37" s="820"/>
      <c r="C37" s="514"/>
      <c r="D37" s="514"/>
      <c r="E37" s="514"/>
      <c r="F37" s="514"/>
      <c r="G37" s="514"/>
      <c r="H37" s="720">
        <f t="shared" si="2"/>
        <v>0</v>
      </c>
      <c r="I37" s="514"/>
      <c r="J37" s="514"/>
      <c r="K37" s="514"/>
      <c r="L37" s="514"/>
      <c r="M37" s="393"/>
      <c r="N37" s="393"/>
      <c r="O37" s="393"/>
      <c r="P37" s="393"/>
      <c r="Q37" s="702"/>
      <c r="R37" s="393"/>
      <c r="S37" s="393"/>
      <c r="T37" s="393"/>
      <c r="U37" s="514"/>
      <c r="V37" s="514"/>
      <c r="W37" s="514"/>
      <c r="X37" s="393"/>
      <c r="Y37" s="393"/>
      <c r="Z37" s="514"/>
      <c r="AA37" s="514"/>
      <c r="AB37" s="514"/>
    </row>
    <row r="38" spans="1:28" s="745" customFormat="1" x14ac:dyDescent="0.25">
      <c r="A38" s="830" t="s">
        <v>1094</v>
      </c>
      <c r="B38" s="820"/>
      <c r="C38" s="228">
        <v>18500</v>
      </c>
      <c r="D38" s="228"/>
      <c r="E38" s="228"/>
      <c r="F38" s="228"/>
      <c r="G38" s="228"/>
      <c r="H38" s="720">
        <f t="shared" si="2"/>
        <v>18500</v>
      </c>
      <c r="I38" s="228">
        <f>H38</f>
        <v>18500</v>
      </c>
      <c r="J38" s="228">
        <f>H38</f>
        <v>18500</v>
      </c>
      <c r="K38" s="228">
        <f>H38</f>
        <v>18500</v>
      </c>
      <c r="L38" s="514"/>
      <c r="M38" s="393"/>
      <c r="N38" s="393"/>
      <c r="O38" s="393"/>
      <c r="P38" s="393"/>
      <c r="Q38" s="702"/>
      <c r="R38" s="393"/>
      <c r="S38" s="393"/>
      <c r="T38" s="393"/>
      <c r="U38" s="514"/>
      <c r="V38" s="514"/>
      <c r="W38" s="514"/>
      <c r="X38" s="997">
        <f t="shared" ref="X38:X45" si="40">L38+M38+N38+O38+P38+Q38+R38+S38+T38</f>
        <v>0</v>
      </c>
      <c r="Y38" s="997">
        <f t="shared" ref="Y38:Y45" si="41">U38</f>
        <v>0</v>
      </c>
      <c r="Z38" s="716">
        <f t="shared" ref="Z38:Z43" si="42">X38+Y38</f>
        <v>0</v>
      </c>
      <c r="AA38" s="716">
        <f t="shared" ref="AA38:AA43" si="43">K38-Z38</f>
        <v>18500</v>
      </c>
      <c r="AB38" s="836">
        <f t="shared" ref="AB38:AB43" si="44">H38-Z38</f>
        <v>18500</v>
      </c>
    </row>
    <row r="39" spans="1:28" s="745" customFormat="1" x14ac:dyDescent="0.25">
      <c r="A39" s="831" t="s">
        <v>325</v>
      </c>
      <c r="B39" s="820"/>
      <c r="C39" s="228"/>
      <c r="D39" s="228"/>
      <c r="E39" s="228"/>
      <c r="F39" s="228"/>
      <c r="G39" s="228"/>
      <c r="H39" s="720">
        <f t="shared" si="2"/>
        <v>0</v>
      </c>
      <c r="I39" s="228">
        <f t="shared" ref="I39:I45" si="45">H39</f>
        <v>0</v>
      </c>
      <c r="J39" s="228">
        <f t="shared" ref="J39:J43" si="46">H39</f>
        <v>0</v>
      </c>
      <c r="K39" s="228">
        <f t="shared" ref="K39:K43" si="47">H39</f>
        <v>0</v>
      </c>
      <c r="L39" s="514"/>
      <c r="M39" s="393"/>
      <c r="N39" s="393"/>
      <c r="O39" s="393"/>
      <c r="P39" s="393"/>
      <c r="Q39" s="702"/>
      <c r="R39" s="393"/>
      <c r="S39" s="393"/>
      <c r="T39" s="393"/>
      <c r="U39" s="514"/>
      <c r="V39" s="514"/>
      <c r="W39" s="514"/>
      <c r="X39" s="997">
        <f t="shared" si="40"/>
        <v>0</v>
      </c>
      <c r="Y39" s="997">
        <f t="shared" si="41"/>
        <v>0</v>
      </c>
      <c r="Z39" s="716">
        <f t="shared" si="42"/>
        <v>0</v>
      </c>
      <c r="AA39" s="716">
        <f t="shared" si="43"/>
        <v>0</v>
      </c>
      <c r="AB39" s="836">
        <f t="shared" si="44"/>
        <v>0</v>
      </c>
    </row>
    <row r="40" spans="1:28" s="745" customFormat="1" x14ac:dyDescent="0.25">
      <c r="A40" s="832" t="s">
        <v>1095</v>
      </c>
      <c r="B40" s="820"/>
      <c r="C40" s="228">
        <v>9000</v>
      </c>
      <c r="D40" s="228"/>
      <c r="E40" s="228">
        <f>-9000</f>
        <v>-9000</v>
      </c>
      <c r="F40" s="228"/>
      <c r="G40" s="228"/>
      <c r="H40" s="720">
        <f t="shared" si="2"/>
        <v>0</v>
      </c>
      <c r="I40" s="228">
        <f t="shared" si="45"/>
        <v>0</v>
      </c>
      <c r="J40" s="228">
        <f t="shared" si="46"/>
        <v>0</v>
      </c>
      <c r="K40" s="228">
        <f t="shared" si="47"/>
        <v>0</v>
      </c>
      <c r="L40" s="514"/>
      <c r="M40" s="393"/>
      <c r="N40" s="393"/>
      <c r="O40" s="393"/>
      <c r="P40" s="393"/>
      <c r="Q40" s="702"/>
      <c r="R40" s="393"/>
      <c r="S40" s="393"/>
      <c r="T40" s="393"/>
      <c r="U40" s="514"/>
      <c r="V40" s="514"/>
      <c r="W40" s="514"/>
      <c r="X40" s="997">
        <f t="shared" si="40"/>
        <v>0</v>
      </c>
      <c r="Y40" s="997">
        <f t="shared" si="41"/>
        <v>0</v>
      </c>
      <c r="Z40" s="716">
        <f t="shared" si="42"/>
        <v>0</v>
      </c>
      <c r="AA40" s="716">
        <f t="shared" si="43"/>
        <v>0</v>
      </c>
      <c r="AB40" s="836">
        <f t="shared" si="44"/>
        <v>0</v>
      </c>
    </row>
    <row r="41" spans="1:28" s="745" customFormat="1" x14ac:dyDescent="0.25">
      <c r="A41" s="832" t="s">
        <v>1096</v>
      </c>
      <c r="B41" s="820"/>
      <c r="C41" s="228">
        <v>36000</v>
      </c>
      <c r="D41" s="228"/>
      <c r="E41" s="228"/>
      <c r="F41" s="228"/>
      <c r="G41" s="228"/>
      <c r="H41" s="720">
        <f t="shared" si="2"/>
        <v>36000</v>
      </c>
      <c r="I41" s="228">
        <f t="shared" si="45"/>
        <v>36000</v>
      </c>
      <c r="J41" s="228">
        <f t="shared" si="46"/>
        <v>36000</v>
      </c>
      <c r="K41" s="228">
        <f t="shared" si="47"/>
        <v>36000</v>
      </c>
      <c r="L41" s="514"/>
      <c r="M41" s="393"/>
      <c r="N41" s="393"/>
      <c r="O41" s="393"/>
      <c r="P41" s="393"/>
      <c r="Q41" s="702"/>
      <c r="R41" s="393"/>
      <c r="S41" s="393"/>
      <c r="T41" s="393"/>
      <c r="U41" s="514"/>
      <c r="V41" s="514"/>
      <c r="W41" s="514"/>
      <c r="X41" s="997">
        <f t="shared" si="40"/>
        <v>0</v>
      </c>
      <c r="Y41" s="997">
        <f t="shared" si="41"/>
        <v>0</v>
      </c>
      <c r="Z41" s="716">
        <f t="shared" si="42"/>
        <v>0</v>
      </c>
      <c r="AA41" s="716">
        <f t="shared" si="43"/>
        <v>36000</v>
      </c>
      <c r="AB41" s="836">
        <f t="shared" si="44"/>
        <v>36000</v>
      </c>
    </row>
    <row r="42" spans="1:28" s="745" customFormat="1" x14ac:dyDescent="0.25">
      <c r="A42" s="834" t="s">
        <v>241</v>
      </c>
      <c r="B42" s="820"/>
      <c r="C42" s="228"/>
      <c r="D42" s="228"/>
      <c r="E42" s="228"/>
      <c r="F42" s="228"/>
      <c r="G42" s="228"/>
      <c r="H42" s="720">
        <f t="shared" si="2"/>
        <v>0</v>
      </c>
      <c r="I42" s="228">
        <f t="shared" si="45"/>
        <v>0</v>
      </c>
      <c r="J42" s="228">
        <f t="shared" si="46"/>
        <v>0</v>
      </c>
      <c r="K42" s="228">
        <f t="shared" si="47"/>
        <v>0</v>
      </c>
      <c r="L42" s="514"/>
      <c r="M42" s="393"/>
      <c r="N42" s="393"/>
      <c r="O42" s="393"/>
      <c r="P42" s="393"/>
      <c r="Q42" s="702"/>
      <c r="R42" s="393"/>
      <c r="S42" s="393"/>
      <c r="T42" s="393"/>
      <c r="U42" s="514"/>
      <c r="V42" s="514"/>
      <c r="W42" s="514"/>
      <c r="X42" s="997">
        <f t="shared" si="40"/>
        <v>0</v>
      </c>
      <c r="Y42" s="997">
        <f t="shared" si="41"/>
        <v>0</v>
      </c>
      <c r="Z42" s="716">
        <f t="shared" si="42"/>
        <v>0</v>
      </c>
      <c r="AA42" s="716">
        <f t="shared" si="43"/>
        <v>0</v>
      </c>
      <c r="AB42" s="836">
        <f t="shared" si="44"/>
        <v>0</v>
      </c>
    </row>
    <row r="43" spans="1:28" s="745" customFormat="1" x14ac:dyDescent="0.25">
      <c r="A43" s="833" t="s">
        <v>1097</v>
      </c>
      <c r="B43" s="820"/>
      <c r="C43" s="228">
        <v>164000</v>
      </c>
      <c r="D43" s="228"/>
      <c r="E43" s="228"/>
      <c r="F43" s="228"/>
      <c r="G43" s="228"/>
      <c r="H43" s="720">
        <f t="shared" si="2"/>
        <v>164000</v>
      </c>
      <c r="I43" s="228">
        <f t="shared" si="45"/>
        <v>164000</v>
      </c>
      <c r="J43" s="228">
        <f t="shared" si="46"/>
        <v>164000</v>
      </c>
      <c r="K43" s="228">
        <f t="shared" si="47"/>
        <v>164000</v>
      </c>
      <c r="L43" s="514"/>
      <c r="M43" s="393"/>
      <c r="N43" s="393"/>
      <c r="O43" s="393"/>
      <c r="P43" s="393"/>
      <c r="Q43" s="702"/>
      <c r="R43" s="393">
        <v>118242</v>
      </c>
      <c r="S43" s="393"/>
      <c r="T43" s="393"/>
      <c r="U43" s="514"/>
      <c r="V43" s="514"/>
      <c r="W43" s="514"/>
      <c r="X43" s="997">
        <f t="shared" si="40"/>
        <v>118242</v>
      </c>
      <c r="Y43" s="997">
        <f t="shared" si="41"/>
        <v>0</v>
      </c>
      <c r="Z43" s="716">
        <f t="shared" si="42"/>
        <v>118242</v>
      </c>
      <c r="AA43" s="716">
        <f t="shared" si="43"/>
        <v>45758</v>
      </c>
      <c r="AB43" s="836">
        <f t="shared" si="44"/>
        <v>45758</v>
      </c>
    </row>
    <row r="44" spans="1:28" s="995" customFormat="1" x14ac:dyDescent="0.25">
      <c r="A44" s="911" t="s">
        <v>428</v>
      </c>
      <c r="B44" s="820"/>
      <c r="C44" s="228"/>
      <c r="D44" s="228"/>
      <c r="E44" s="228"/>
      <c r="F44" s="228"/>
      <c r="G44" s="228"/>
      <c r="H44" s="720">
        <f t="shared" si="2"/>
        <v>0</v>
      </c>
      <c r="I44" s="228">
        <f t="shared" si="45"/>
        <v>0</v>
      </c>
      <c r="J44" s="228"/>
      <c r="K44" s="228"/>
      <c r="L44" s="514"/>
      <c r="M44" s="393"/>
      <c r="N44" s="393"/>
      <c r="O44" s="393"/>
      <c r="P44" s="393"/>
      <c r="Q44" s="702"/>
      <c r="R44" s="393"/>
      <c r="S44" s="393"/>
      <c r="T44" s="393"/>
      <c r="U44" s="514"/>
      <c r="V44" s="514"/>
      <c r="W44" s="514"/>
      <c r="X44" s="997">
        <f t="shared" si="40"/>
        <v>0</v>
      </c>
      <c r="Y44" s="997">
        <f t="shared" si="41"/>
        <v>0</v>
      </c>
      <c r="Z44" s="989">
        <f t="shared" ref="Z44:Z45" si="48">X44+Y44</f>
        <v>0</v>
      </c>
      <c r="AA44" s="989">
        <f t="shared" ref="AA44:AA45" si="49">K44-Z44</f>
        <v>0</v>
      </c>
      <c r="AB44" s="996">
        <f t="shared" ref="AB44:AB45" si="50">H44-Z44</f>
        <v>0</v>
      </c>
    </row>
    <row r="45" spans="1:28" s="995" customFormat="1" ht="26.25" x14ac:dyDescent="0.25">
      <c r="A45" s="1099" t="s">
        <v>1226</v>
      </c>
      <c r="B45" s="820"/>
      <c r="C45" s="228"/>
      <c r="D45" s="228">
        <f>-150000</f>
        <v>-150000</v>
      </c>
      <c r="E45" s="228"/>
      <c r="F45" s="228"/>
      <c r="G45" s="228">
        <v>525000</v>
      </c>
      <c r="H45" s="720">
        <f t="shared" si="2"/>
        <v>375000</v>
      </c>
      <c r="I45" s="228">
        <f t="shared" si="45"/>
        <v>375000</v>
      </c>
      <c r="J45" s="228">
        <f>H45</f>
        <v>375000</v>
      </c>
      <c r="K45" s="228">
        <f>J45</f>
        <v>375000</v>
      </c>
      <c r="L45" s="514"/>
      <c r="M45" s="393"/>
      <c r="N45" s="393"/>
      <c r="O45" s="393"/>
      <c r="P45" s="393"/>
      <c r="Q45" s="702"/>
      <c r="R45" s="393"/>
      <c r="S45" s="393"/>
      <c r="T45" s="393"/>
      <c r="U45" s="514"/>
      <c r="V45" s="514"/>
      <c r="W45" s="514"/>
      <c r="X45" s="997">
        <f t="shared" si="40"/>
        <v>0</v>
      </c>
      <c r="Y45" s="997">
        <f t="shared" si="41"/>
        <v>0</v>
      </c>
      <c r="Z45" s="989">
        <f t="shared" si="48"/>
        <v>0</v>
      </c>
      <c r="AA45" s="989">
        <f t="shared" si="49"/>
        <v>375000</v>
      </c>
      <c r="AB45" s="996">
        <f t="shared" si="50"/>
        <v>375000</v>
      </c>
    </row>
    <row r="46" spans="1:28" s="745" customFormat="1" x14ac:dyDescent="0.25">
      <c r="A46" s="835" t="s">
        <v>1098</v>
      </c>
      <c r="B46" s="820"/>
      <c r="C46" s="514">
        <f>SUM(C38:C45)</f>
        <v>227500</v>
      </c>
      <c r="D46" s="514">
        <f>SUM(D38:D45)</f>
        <v>-150000</v>
      </c>
      <c r="E46" s="514">
        <f t="shared" ref="E46:AB46" si="51">SUM(E38:E45)</f>
        <v>-9000</v>
      </c>
      <c r="F46" s="514">
        <f t="shared" ref="F46" si="52">SUM(F38:F45)</f>
        <v>0</v>
      </c>
      <c r="G46" s="514">
        <f t="shared" si="51"/>
        <v>525000</v>
      </c>
      <c r="H46" s="514">
        <f t="shared" si="51"/>
        <v>593500</v>
      </c>
      <c r="I46" s="514">
        <f t="shared" si="51"/>
        <v>593500</v>
      </c>
      <c r="J46" s="514">
        <f t="shared" si="51"/>
        <v>593500</v>
      </c>
      <c r="K46" s="514">
        <f t="shared" si="51"/>
        <v>593500</v>
      </c>
      <c r="L46" s="514">
        <f t="shared" si="51"/>
        <v>0</v>
      </c>
      <c r="M46" s="514">
        <f t="shared" si="51"/>
        <v>0</v>
      </c>
      <c r="N46" s="514">
        <f t="shared" si="51"/>
        <v>0</v>
      </c>
      <c r="O46" s="393">
        <f t="shared" si="51"/>
        <v>0</v>
      </c>
      <c r="P46" s="393">
        <f t="shared" si="51"/>
        <v>0</v>
      </c>
      <c r="Q46" s="702">
        <f t="shared" si="51"/>
        <v>0</v>
      </c>
      <c r="R46" s="393">
        <f t="shared" si="51"/>
        <v>118242</v>
      </c>
      <c r="S46" s="393">
        <f t="shared" si="51"/>
        <v>0</v>
      </c>
      <c r="T46" s="393">
        <f t="shared" si="51"/>
        <v>0</v>
      </c>
      <c r="U46" s="514">
        <f t="shared" si="51"/>
        <v>0</v>
      </c>
      <c r="V46" s="514">
        <f t="shared" si="51"/>
        <v>0</v>
      </c>
      <c r="W46" s="514">
        <f t="shared" si="51"/>
        <v>0</v>
      </c>
      <c r="X46" s="514">
        <f t="shared" si="51"/>
        <v>118242</v>
      </c>
      <c r="Y46" s="514">
        <f t="shared" si="51"/>
        <v>0</v>
      </c>
      <c r="Z46" s="514">
        <f t="shared" si="51"/>
        <v>118242</v>
      </c>
      <c r="AA46" s="514">
        <f t="shared" si="51"/>
        <v>475258</v>
      </c>
      <c r="AB46" s="514">
        <f t="shared" si="51"/>
        <v>475258</v>
      </c>
    </row>
    <row r="47" spans="1:28" s="300" customFormat="1" ht="15.75" thickBot="1" x14ac:dyDescent="0.3">
      <c r="A47" s="156" t="s">
        <v>160</v>
      </c>
      <c r="B47" s="156"/>
      <c r="C47" s="364">
        <f>C35+C46</f>
        <v>849980</v>
      </c>
      <c r="D47" s="364">
        <f>D35+D46</f>
        <v>-150000</v>
      </c>
      <c r="E47" s="364">
        <f t="shared" ref="E47:G47" si="53">E35+E46</f>
        <v>-9000</v>
      </c>
      <c r="F47" s="364">
        <f t="shared" ref="F47" si="54">F35+F46</f>
        <v>5060</v>
      </c>
      <c r="G47" s="364">
        <f t="shared" si="53"/>
        <v>525000</v>
      </c>
      <c r="H47" s="364">
        <f t="shared" ref="H47:AB47" si="55">H35+H46</f>
        <v>1221040</v>
      </c>
      <c r="I47" s="364">
        <f t="shared" si="55"/>
        <v>1064155</v>
      </c>
      <c r="J47" s="364">
        <f t="shared" si="55"/>
        <v>645795</v>
      </c>
      <c r="K47" s="364">
        <f t="shared" si="55"/>
        <v>1116450</v>
      </c>
      <c r="L47" s="364">
        <f t="shared" si="55"/>
        <v>20800.53</v>
      </c>
      <c r="M47" s="324">
        <f t="shared" si="55"/>
        <v>19073.11</v>
      </c>
      <c r="N47" s="324">
        <f t="shared" si="55"/>
        <v>21092.18</v>
      </c>
      <c r="O47" s="324">
        <f t="shared" si="55"/>
        <v>16727.010000000002</v>
      </c>
      <c r="P47" s="324">
        <f t="shared" si="55"/>
        <v>32879.130000000005</v>
      </c>
      <c r="Q47" s="1005">
        <f t="shared" si="55"/>
        <v>28579.99</v>
      </c>
      <c r="R47" s="324">
        <f t="shared" si="55"/>
        <v>130548.35</v>
      </c>
      <c r="S47" s="324">
        <f t="shared" si="55"/>
        <v>103936.23999999999</v>
      </c>
      <c r="T47" s="324">
        <f t="shared" si="55"/>
        <v>24509.47</v>
      </c>
      <c r="U47" s="364">
        <f t="shared" si="55"/>
        <v>15873.44</v>
      </c>
      <c r="V47" s="364">
        <f t="shared" si="55"/>
        <v>0</v>
      </c>
      <c r="W47" s="364">
        <f t="shared" si="55"/>
        <v>0</v>
      </c>
      <c r="X47" s="324">
        <f t="shared" si="55"/>
        <v>398146.01</v>
      </c>
      <c r="Y47" s="324">
        <f t="shared" si="55"/>
        <v>15873.44</v>
      </c>
      <c r="Z47" s="364">
        <f t="shared" si="55"/>
        <v>414019.44999999995</v>
      </c>
      <c r="AA47" s="364">
        <f t="shared" si="55"/>
        <v>702430.55</v>
      </c>
      <c r="AB47" s="364">
        <f t="shared" si="55"/>
        <v>807020.55</v>
      </c>
    </row>
    <row r="48" spans="1:28" s="264" customFormat="1" ht="15.75" thickTop="1" x14ac:dyDescent="0.25">
      <c r="A48" s="16"/>
      <c r="B48" s="16"/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6"/>
      <c r="N48" s="6"/>
      <c r="O48" s="6"/>
      <c r="P48" s="6"/>
      <c r="Q48" s="1248"/>
      <c r="R48" s="6"/>
      <c r="S48" s="6"/>
      <c r="T48" s="6"/>
      <c r="U48" s="362"/>
      <c r="V48" s="362"/>
      <c r="W48" s="362"/>
      <c r="X48" s="6"/>
      <c r="Y48" s="6"/>
      <c r="Z48" s="362"/>
      <c r="AA48" s="362"/>
      <c r="AB48" s="362"/>
    </row>
    <row r="49" spans="1:28" s="712" customFormat="1" x14ac:dyDescent="0.25">
      <c r="A49" s="712" t="s">
        <v>354</v>
      </c>
      <c r="B49" s="30"/>
      <c r="C49" s="35"/>
      <c r="D49" s="35"/>
      <c r="E49" s="35"/>
      <c r="F49" s="35"/>
      <c r="G49" s="35"/>
      <c r="H49" s="35"/>
      <c r="I49" s="35"/>
      <c r="J49" s="35"/>
      <c r="M49" s="303"/>
      <c r="N49" s="303"/>
      <c r="O49" s="303"/>
      <c r="P49" s="303"/>
      <c r="Q49" s="1245"/>
      <c r="R49" s="303"/>
      <c r="S49" s="303"/>
      <c r="T49" s="303"/>
      <c r="X49" s="303"/>
      <c r="Y49" s="303"/>
      <c r="AA49" s="743" t="s">
        <v>357</v>
      </c>
    </row>
    <row r="50" spans="1:28" x14ac:dyDescent="0.25">
      <c r="B50" s="30"/>
      <c r="C50" s="35"/>
      <c r="D50" s="35"/>
      <c r="E50" s="35"/>
      <c r="F50" s="35"/>
      <c r="G50" s="35"/>
      <c r="H50" s="35"/>
      <c r="I50" s="35"/>
      <c r="J50" s="35"/>
      <c r="AA50" s="259"/>
    </row>
    <row r="51" spans="1:28" x14ac:dyDescent="0.25">
      <c r="B51" s="14"/>
      <c r="C51" s="359"/>
      <c r="D51" s="359"/>
      <c r="E51" s="359"/>
      <c r="F51" s="359"/>
      <c r="G51" s="359"/>
      <c r="H51" s="359"/>
      <c r="I51" s="359"/>
      <c r="J51" s="359"/>
    </row>
    <row r="52" spans="1:28" x14ac:dyDescent="0.25">
      <c r="A52" s="360" t="s">
        <v>355</v>
      </c>
      <c r="B52" s="14"/>
      <c r="C52" s="361"/>
      <c r="D52" s="361"/>
      <c r="E52" s="361"/>
      <c r="F52" s="361"/>
      <c r="G52" s="361"/>
      <c r="H52" s="361"/>
      <c r="I52" s="361"/>
      <c r="J52" s="361"/>
      <c r="AA52" s="259" t="s">
        <v>358</v>
      </c>
    </row>
    <row r="53" spans="1:28" x14ac:dyDescent="0.25">
      <c r="A53" s="259" t="s">
        <v>356</v>
      </c>
      <c r="AA53" s="259" t="s">
        <v>359</v>
      </c>
    </row>
    <row r="54" spans="1:28" s="264" customFormat="1" x14ac:dyDescent="0.25">
      <c r="A54" s="16"/>
      <c r="B54" s="16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6"/>
      <c r="N54" s="6"/>
      <c r="O54" s="6"/>
      <c r="P54" s="6"/>
      <c r="Q54" s="1248"/>
      <c r="R54" s="6"/>
      <c r="S54" s="6"/>
      <c r="T54" s="6"/>
      <c r="U54" s="362"/>
      <c r="V54" s="362"/>
      <c r="W54" s="362"/>
      <c r="X54" s="6"/>
      <c r="Y54" s="6"/>
      <c r="Z54" s="362"/>
      <c r="AA54" s="362"/>
      <c r="AB54" s="362"/>
    </row>
    <row r="55" spans="1:28" s="264" customFormat="1" x14ac:dyDescent="0.25">
      <c r="A55" s="16"/>
      <c r="B55" s="16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6"/>
      <c r="N55" s="6"/>
      <c r="O55" s="6"/>
      <c r="P55" s="6"/>
      <c r="Q55" s="1248"/>
      <c r="R55" s="6"/>
      <c r="S55" s="6"/>
      <c r="T55" s="6"/>
      <c r="U55" s="362"/>
      <c r="V55" s="362"/>
      <c r="W55" s="362"/>
      <c r="X55" s="6"/>
      <c r="Y55" s="6"/>
      <c r="Z55" s="362"/>
      <c r="AA55" s="362"/>
      <c r="AB55" s="362"/>
    </row>
    <row r="56" spans="1:28" s="264" customFormat="1" x14ac:dyDescent="0.25">
      <c r="A56" s="16"/>
      <c r="B56" s="16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6"/>
      <c r="N56" s="6"/>
      <c r="O56" s="6"/>
      <c r="P56" s="6"/>
      <c r="Q56" s="1248"/>
      <c r="R56" s="6"/>
      <c r="S56" s="6"/>
      <c r="T56" s="6"/>
      <c r="U56" s="362"/>
      <c r="V56" s="362"/>
      <c r="W56" s="362"/>
      <c r="X56" s="6"/>
      <c r="Y56" s="6"/>
      <c r="Z56" s="362"/>
      <c r="AA56" s="362"/>
      <c r="AB56" s="362"/>
    </row>
    <row r="57" spans="1:28" s="264" customFormat="1" x14ac:dyDescent="0.25">
      <c r="A57" s="16"/>
      <c r="B57" s="16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6"/>
      <c r="N57" s="6"/>
      <c r="O57" s="6"/>
      <c r="P57" s="6"/>
      <c r="Q57" s="1248"/>
      <c r="R57" s="6"/>
      <c r="S57" s="6"/>
      <c r="T57" s="6"/>
      <c r="U57" s="362"/>
      <c r="V57" s="362"/>
      <c r="W57" s="362"/>
      <c r="X57" s="6"/>
      <c r="Y57" s="6"/>
      <c r="Z57" s="362"/>
      <c r="AA57" s="362"/>
      <c r="AB57" s="362"/>
    </row>
    <row r="58" spans="1:28" s="747" customFormat="1" x14ac:dyDescent="0.25">
      <c r="A58" s="16"/>
      <c r="B58" s="16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6"/>
      <c r="N58" s="6"/>
      <c r="O58" s="6"/>
      <c r="P58" s="6"/>
      <c r="Q58" s="1248"/>
      <c r="R58" s="6"/>
      <c r="S58" s="6"/>
      <c r="T58" s="6"/>
      <c r="U58" s="362"/>
      <c r="V58" s="362"/>
      <c r="W58" s="362"/>
      <c r="X58" s="6"/>
      <c r="Y58" s="6"/>
      <c r="Z58" s="362"/>
      <c r="AA58" s="362"/>
      <c r="AB58" s="362"/>
    </row>
    <row r="59" spans="1:28" s="747" customFormat="1" x14ac:dyDescent="0.25">
      <c r="A59" s="1436"/>
      <c r="B59" s="1436"/>
      <c r="C59" s="1436"/>
      <c r="D59" s="1436"/>
      <c r="E59" s="1436"/>
      <c r="F59" s="1436"/>
      <c r="G59" s="1436"/>
      <c r="H59" s="1436"/>
      <c r="I59" s="1436"/>
      <c r="J59" s="1436"/>
      <c r="K59" s="1436"/>
      <c r="L59" s="1436"/>
      <c r="M59" s="1436"/>
      <c r="N59" s="1436"/>
      <c r="O59" s="1436"/>
      <c r="P59" s="1436"/>
      <c r="Q59" s="1436"/>
      <c r="R59" s="1436"/>
      <c r="S59" s="1436"/>
      <c r="T59" s="1436"/>
      <c r="U59" s="1436"/>
      <c r="V59" s="1436"/>
      <c r="W59" s="1436"/>
      <c r="X59" s="1436"/>
      <c r="Y59" s="1436"/>
      <c r="Z59" s="1436"/>
      <c r="AA59" s="362"/>
      <c r="AB59" s="362"/>
    </row>
    <row r="60" spans="1:28" s="747" customFormat="1" x14ac:dyDescent="0.25">
      <c r="A60" s="1436"/>
      <c r="B60" s="1436"/>
      <c r="C60" s="1436"/>
      <c r="D60" s="1436"/>
      <c r="E60" s="1436"/>
      <c r="F60" s="1436"/>
      <c r="G60" s="1436"/>
      <c r="H60" s="1436"/>
      <c r="I60" s="1436"/>
      <c r="J60" s="1436"/>
      <c r="K60" s="1436"/>
      <c r="L60" s="1436"/>
      <c r="M60" s="1436"/>
      <c r="N60" s="1436"/>
      <c r="O60" s="1436"/>
      <c r="P60" s="1436"/>
      <c r="Q60" s="1436"/>
      <c r="R60" s="1436"/>
      <c r="S60" s="1436"/>
      <c r="T60" s="1436"/>
      <c r="U60" s="1436"/>
      <c r="V60" s="1436"/>
      <c r="W60" s="1436"/>
      <c r="X60" s="1436"/>
      <c r="Y60" s="1436"/>
      <c r="Z60" s="1436"/>
      <c r="AA60" s="362"/>
      <c r="AB60" s="362"/>
    </row>
    <row r="61" spans="1:28" s="747" customFormat="1" x14ac:dyDescent="0.25">
      <c r="A61" s="1436"/>
      <c r="B61" s="1436"/>
      <c r="C61" s="1436"/>
      <c r="D61" s="1436"/>
      <c r="E61" s="1436"/>
      <c r="F61" s="1436"/>
      <c r="G61" s="1436"/>
      <c r="H61" s="1436"/>
      <c r="I61" s="1436"/>
      <c r="J61" s="1436"/>
      <c r="K61" s="1436"/>
      <c r="L61" s="1436"/>
      <c r="M61" s="1436"/>
      <c r="N61" s="1436"/>
      <c r="O61" s="1436"/>
      <c r="P61" s="1436"/>
      <c r="Q61" s="1436"/>
      <c r="R61" s="1436"/>
      <c r="S61" s="1436"/>
      <c r="T61" s="1436"/>
      <c r="U61" s="1436"/>
      <c r="V61" s="1436"/>
      <c r="W61" s="1436"/>
      <c r="X61" s="1436"/>
      <c r="Y61" s="1436"/>
      <c r="Z61" s="1436"/>
      <c r="AA61" s="362"/>
      <c r="AB61" s="362"/>
    </row>
    <row r="62" spans="1:28" s="747" customFormat="1" x14ac:dyDescent="0.25">
      <c r="A62" s="16"/>
      <c r="B62" s="16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6"/>
      <c r="N62" s="6"/>
      <c r="O62" s="6"/>
      <c r="P62" s="6"/>
      <c r="Q62" s="1248"/>
      <c r="R62" s="6"/>
      <c r="S62" s="6"/>
      <c r="T62" s="6"/>
      <c r="U62" s="362"/>
      <c r="V62" s="362"/>
      <c r="W62" s="362"/>
      <c r="X62" s="6"/>
      <c r="Y62" s="6"/>
      <c r="Z62" s="362"/>
      <c r="AA62" s="362"/>
      <c r="AB62" s="362"/>
    </row>
    <row r="63" spans="1:28" s="747" customFormat="1" x14ac:dyDescent="0.25">
      <c r="A63" s="896"/>
      <c r="B63" s="896"/>
      <c r="C63" s="896"/>
      <c r="D63" s="896"/>
      <c r="E63" s="896"/>
      <c r="F63" s="896"/>
      <c r="G63" s="896"/>
      <c r="H63" s="896"/>
      <c r="I63" s="896"/>
      <c r="J63" s="896"/>
      <c r="K63" s="23"/>
      <c r="L63" s="898"/>
      <c r="M63" s="898"/>
      <c r="N63" s="898"/>
      <c r="O63" s="898"/>
      <c r="P63" s="900"/>
      <c r="Q63" s="23"/>
      <c r="R63" s="900"/>
      <c r="S63" s="900"/>
      <c r="T63" s="900"/>
      <c r="U63" s="900"/>
      <c r="V63" s="900"/>
      <c r="W63" s="900"/>
      <c r="X63" s="23"/>
      <c r="Y63" s="23"/>
      <c r="Z63" s="23"/>
      <c r="AA63" s="23"/>
      <c r="AB63" s="23"/>
    </row>
    <row r="64" spans="1:28" s="747" customFormat="1" x14ac:dyDescent="0.25">
      <c r="A64" s="896"/>
      <c r="B64" s="896"/>
      <c r="C64" s="896"/>
      <c r="D64" s="896"/>
      <c r="E64" s="896"/>
      <c r="F64" s="896"/>
      <c r="G64" s="896"/>
      <c r="H64" s="896"/>
      <c r="I64" s="896"/>
      <c r="J64" s="896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28" s="747" customFormat="1" ht="17.25" customHeight="1" x14ac:dyDescent="0.25">
      <c r="A65" s="16"/>
      <c r="B65" s="16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760"/>
      <c r="N65" s="760"/>
      <c r="O65" s="760"/>
      <c r="P65" s="760"/>
      <c r="Q65" s="1249"/>
      <c r="R65" s="760"/>
      <c r="S65" s="760"/>
      <c r="T65" s="760"/>
      <c r="X65" s="760"/>
      <c r="Y65" s="760"/>
    </row>
    <row r="66" spans="1:28" s="903" customFormat="1" x14ac:dyDescent="0.25">
      <c r="A66" s="12"/>
      <c r="B66" s="9"/>
      <c r="C66" s="892"/>
      <c r="D66" s="892"/>
      <c r="E66" s="892"/>
      <c r="F66" s="892"/>
      <c r="G66" s="892"/>
      <c r="H66" s="6"/>
      <c r="I66" s="892"/>
      <c r="J66" s="6"/>
      <c r="K66" s="900"/>
      <c r="M66" s="894"/>
      <c r="N66" s="894"/>
      <c r="O66" s="894"/>
      <c r="P66" s="894"/>
      <c r="Q66" s="1249"/>
      <c r="R66" s="894"/>
      <c r="S66" s="894"/>
      <c r="T66" s="894"/>
      <c r="X66" s="894"/>
      <c r="Y66" s="894"/>
      <c r="Z66" s="900"/>
      <c r="AA66" s="895"/>
      <c r="AB66" s="902"/>
    </row>
    <row r="67" spans="1:28" s="747" customFormat="1" x14ac:dyDescent="0.25">
      <c r="A67" s="893"/>
      <c r="B67" s="890"/>
      <c r="C67" s="6"/>
      <c r="D67" s="6"/>
      <c r="E67" s="6"/>
      <c r="F67" s="6"/>
      <c r="G67" s="6"/>
      <c r="H67" s="6"/>
      <c r="I67" s="6"/>
      <c r="J67" s="6"/>
      <c r="K67" s="900"/>
      <c r="M67" s="760"/>
      <c r="N67" s="760"/>
      <c r="O67" s="760"/>
      <c r="P67" s="760"/>
      <c r="Q67" s="1249"/>
      <c r="R67" s="760"/>
      <c r="S67" s="760"/>
      <c r="T67" s="760"/>
      <c r="X67" s="760"/>
      <c r="Y67" s="760"/>
      <c r="Z67" s="900"/>
      <c r="AA67" s="895"/>
      <c r="AB67" s="902"/>
    </row>
    <row r="68" spans="1:28" s="747" customFormat="1" x14ac:dyDescent="0.25">
      <c r="A68" s="893"/>
      <c r="B68" s="890"/>
      <c r="C68" s="6"/>
      <c r="D68" s="6"/>
      <c r="E68" s="6"/>
      <c r="F68" s="6"/>
      <c r="G68" s="6"/>
      <c r="H68" s="6"/>
      <c r="I68" s="6"/>
      <c r="J68" s="6"/>
      <c r="K68" s="900"/>
      <c r="M68" s="760"/>
      <c r="N68" s="760"/>
      <c r="O68" s="760"/>
      <c r="P68" s="760"/>
      <c r="Q68" s="1249"/>
      <c r="R68" s="760"/>
      <c r="S68" s="760"/>
      <c r="T68" s="760"/>
      <c r="X68" s="760"/>
      <c r="Y68" s="760"/>
      <c r="Z68" s="900"/>
      <c r="AA68" s="895"/>
      <c r="AB68" s="902"/>
    </row>
    <row r="69" spans="1:28" s="747" customFormat="1" x14ac:dyDescent="0.25">
      <c r="A69" s="893"/>
      <c r="B69" s="890"/>
      <c r="C69" s="6"/>
      <c r="D69" s="6"/>
      <c r="E69" s="6"/>
      <c r="F69" s="6"/>
      <c r="G69" s="6"/>
      <c r="H69" s="6"/>
      <c r="I69" s="6"/>
      <c r="J69" s="6"/>
      <c r="K69" s="900"/>
      <c r="M69" s="760"/>
      <c r="N69" s="760"/>
      <c r="O69" s="760"/>
      <c r="P69" s="760"/>
      <c r="Q69" s="1249"/>
      <c r="R69" s="760"/>
      <c r="S69" s="760"/>
      <c r="T69" s="760"/>
      <c r="X69" s="760"/>
      <c r="Y69" s="760"/>
      <c r="Z69" s="900"/>
      <c r="AA69" s="895"/>
      <c r="AB69" s="902"/>
    </row>
    <row r="70" spans="1:28" s="747" customFormat="1" x14ac:dyDescent="0.25">
      <c r="A70" s="893"/>
      <c r="B70" s="890"/>
      <c r="C70" s="6"/>
      <c r="D70" s="6"/>
      <c r="E70" s="6"/>
      <c r="F70" s="6"/>
      <c r="G70" s="6"/>
      <c r="H70" s="6"/>
      <c r="I70" s="6"/>
      <c r="J70" s="6"/>
      <c r="K70" s="900"/>
      <c r="M70" s="760"/>
      <c r="N70" s="760"/>
      <c r="O70" s="760"/>
      <c r="P70" s="760"/>
      <c r="Q70" s="1249"/>
      <c r="R70" s="760"/>
      <c r="S70" s="760"/>
      <c r="T70" s="760"/>
      <c r="X70" s="760"/>
      <c r="Y70" s="760"/>
      <c r="Z70" s="900"/>
      <c r="AA70" s="900"/>
      <c r="AB70" s="902"/>
    </row>
    <row r="71" spans="1:28" s="747" customFormat="1" x14ac:dyDescent="0.25">
      <c r="A71" s="893"/>
      <c r="B71" s="890"/>
      <c r="C71" s="6"/>
      <c r="D71" s="6"/>
      <c r="E71" s="6"/>
      <c r="F71" s="6"/>
      <c r="G71" s="6"/>
      <c r="H71" s="6"/>
      <c r="I71" s="6"/>
      <c r="J71" s="6"/>
      <c r="K71" s="900"/>
      <c r="L71" s="918"/>
      <c r="M71" s="6"/>
      <c r="N71" s="6"/>
      <c r="O71" s="6"/>
      <c r="P71" s="6"/>
      <c r="Q71" s="1248"/>
      <c r="R71" s="6"/>
      <c r="S71" s="6"/>
      <c r="T71" s="6"/>
      <c r="U71" s="918"/>
      <c r="V71" s="918"/>
      <c r="W71" s="918"/>
      <c r="X71" s="6"/>
      <c r="Y71" s="6"/>
      <c r="Z71" s="900"/>
      <c r="AA71" s="895"/>
      <c r="AB71" s="902"/>
    </row>
    <row r="72" spans="1:28" s="747" customFormat="1" x14ac:dyDescent="0.25">
      <c r="A72" s="893"/>
      <c r="B72" s="890"/>
      <c r="C72" s="6"/>
      <c r="D72" s="6"/>
      <c r="E72" s="6"/>
      <c r="F72" s="6"/>
      <c r="G72" s="6"/>
      <c r="H72" s="6"/>
      <c r="I72" s="6"/>
      <c r="J72" s="6"/>
      <c r="K72" s="900"/>
      <c r="M72" s="760"/>
      <c r="N72" s="760"/>
      <c r="O72" s="760"/>
      <c r="P72" s="760"/>
      <c r="Q72" s="1249"/>
      <c r="R72" s="760"/>
      <c r="S72" s="760"/>
      <c r="T72" s="760"/>
      <c r="X72" s="760"/>
      <c r="Y72" s="760"/>
      <c r="Z72" s="900"/>
      <c r="AA72" s="895"/>
      <c r="AB72" s="902"/>
    </row>
    <row r="73" spans="1:28" s="747" customFormat="1" x14ac:dyDescent="0.25">
      <c r="A73" s="893"/>
      <c r="B73" s="890"/>
      <c r="C73" s="6"/>
      <c r="D73" s="6"/>
      <c r="E73" s="6"/>
      <c r="F73" s="6"/>
      <c r="G73" s="6"/>
      <c r="H73" s="6"/>
      <c r="I73" s="6"/>
      <c r="J73" s="6"/>
      <c r="K73" s="900"/>
      <c r="M73" s="760"/>
      <c r="N73" s="760"/>
      <c r="O73" s="760"/>
      <c r="P73" s="760"/>
      <c r="Q73" s="1249"/>
      <c r="R73" s="760"/>
      <c r="S73" s="760"/>
      <c r="T73" s="760"/>
      <c r="X73" s="760"/>
      <c r="Y73" s="760"/>
      <c r="AA73" s="900"/>
      <c r="AB73" s="902"/>
    </row>
    <row r="74" spans="1:28" s="747" customFormat="1" x14ac:dyDescent="0.25">
      <c r="A74" s="893"/>
      <c r="B74" s="890"/>
      <c r="C74" s="6"/>
      <c r="D74" s="6"/>
      <c r="E74" s="6"/>
      <c r="F74" s="6"/>
      <c r="G74" s="6"/>
      <c r="H74" s="6"/>
      <c r="I74" s="6"/>
      <c r="J74" s="6"/>
      <c r="K74" s="900"/>
      <c r="M74" s="760"/>
      <c r="N74" s="760"/>
      <c r="O74" s="760"/>
      <c r="P74" s="760"/>
      <c r="Q74" s="1249"/>
      <c r="R74" s="760"/>
      <c r="S74" s="760"/>
      <c r="T74" s="760"/>
      <c r="X74" s="760"/>
      <c r="Y74" s="760"/>
      <c r="AA74" s="900"/>
      <c r="AB74" s="902"/>
    </row>
    <row r="75" spans="1:28" s="747" customFormat="1" x14ac:dyDescent="0.25">
      <c r="A75" s="889"/>
      <c r="B75" s="890"/>
      <c r="C75" s="6"/>
      <c r="D75" s="6"/>
      <c r="E75" s="6"/>
      <c r="F75" s="6"/>
      <c r="G75" s="6"/>
      <c r="H75" s="6"/>
      <c r="I75" s="6"/>
      <c r="J75" s="6"/>
      <c r="K75" s="900"/>
      <c r="L75" s="362"/>
      <c r="M75" s="6"/>
      <c r="N75" s="6"/>
      <c r="O75" s="6"/>
      <c r="P75" s="6"/>
      <c r="Q75" s="1248"/>
      <c r="R75" s="6"/>
      <c r="S75" s="6"/>
      <c r="T75" s="6"/>
      <c r="U75" s="362"/>
      <c r="V75" s="362"/>
      <c r="W75" s="362"/>
      <c r="X75" s="6"/>
      <c r="Y75" s="6"/>
      <c r="Z75" s="900"/>
      <c r="AA75" s="895"/>
      <c r="AB75" s="902"/>
    </row>
    <row r="76" spans="1:28" s="747" customFormat="1" x14ac:dyDescent="0.25">
      <c r="A76" s="888"/>
      <c r="B76" s="890"/>
      <c r="C76" s="6"/>
      <c r="D76" s="6"/>
      <c r="E76" s="6"/>
      <c r="F76" s="6"/>
      <c r="G76" s="6"/>
      <c r="H76" s="6"/>
      <c r="I76" s="6"/>
      <c r="J76" s="6"/>
      <c r="K76" s="900"/>
      <c r="L76" s="918"/>
      <c r="M76" s="6"/>
      <c r="N76" s="6"/>
      <c r="O76" s="6"/>
      <c r="P76" s="6"/>
      <c r="Q76" s="1248"/>
      <c r="R76" s="6"/>
      <c r="S76" s="6"/>
      <c r="T76" s="6"/>
      <c r="U76" s="918"/>
      <c r="V76" s="918"/>
      <c r="W76" s="918"/>
      <c r="X76" s="6"/>
      <c r="Y76" s="6"/>
      <c r="Z76" s="900"/>
      <c r="AA76" s="895"/>
      <c r="AB76" s="902"/>
    </row>
    <row r="77" spans="1:28" s="747" customFormat="1" x14ac:dyDescent="0.25">
      <c r="A77" s="888"/>
      <c r="B77" s="890"/>
      <c r="C77" s="6"/>
      <c r="D77" s="6"/>
      <c r="E77" s="6"/>
      <c r="F77" s="6"/>
      <c r="G77" s="6"/>
      <c r="H77" s="6"/>
      <c r="I77" s="6"/>
      <c r="J77" s="6"/>
      <c r="K77" s="900"/>
      <c r="M77" s="760"/>
      <c r="N77" s="760"/>
      <c r="O77" s="760"/>
      <c r="P77" s="760"/>
      <c r="Q77" s="1249"/>
      <c r="R77" s="760"/>
      <c r="S77" s="760"/>
      <c r="T77" s="760"/>
      <c r="X77" s="760"/>
      <c r="Y77" s="760"/>
      <c r="Z77" s="900"/>
      <c r="AA77" s="895"/>
      <c r="AB77" s="902"/>
    </row>
    <row r="78" spans="1:28" s="747" customFormat="1" x14ac:dyDescent="0.25">
      <c r="A78" s="888"/>
      <c r="B78" s="901"/>
      <c r="C78" s="6"/>
      <c r="D78" s="6"/>
      <c r="E78" s="6"/>
      <c r="F78" s="6"/>
      <c r="G78" s="6"/>
      <c r="H78" s="6"/>
      <c r="I78" s="6"/>
      <c r="J78" s="6"/>
      <c r="K78" s="900"/>
      <c r="M78" s="760"/>
      <c r="N78" s="760"/>
      <c r="O78" s="760"/>
      <c r="P78" s="760"/>
      <c r="Q78" s="1249"/>
      <c r="R78" s="760"/>
      <c r="S78" s="760"/>
      <c r="T78" s="760"/>
      <c r="X78" s="760"/>
      <c r="Y78" s="760"/>
      <c r="Z78" s="900"/>
      <c r="AA78" s="895"/>
      <c r="AB78" s="902"/>
    </row>
    <row r="79" spans="1:28" s="747" customFormat="1" x14ac:dyDescent="0.25">
      <c r="A79" s="889"/>
      <c r="B79" s="901"/>
      <c r="C79" s="6"/>
      <c r="D79" s="6"/>
      <c r="E79" s="6"/>
      <c r="F79" s="6"/>
      <c r="G79" s="6"/>
      <c r="H79" s="6"/>
      <c r="I79" s="6"/>
      <c r="J79" s="6"/>
      <c r="K79" s="900"/>
      <c r="M79" s="760"/>
      <c r="N79" s="760"/>
      <c r="O79" s="760"/>
      <c r="P79" s="760"/>
      <c r="Q79" s="1249"/>
      <c r="R79" s="760"/>
      <c r="S79" s="760"/>
      <c r="T79" s="760"/>
      <c r="X79" s="760"/>
      <c r="Y79" s="760"/>
      <c r="Z79" s="900"/>
      <c r="AA79" s="895"/>
      <c r="AB79" s="902"/>
    </row>
    <row r="80" spans="1:28" s="747" customFormat="1" x14ac:dyDescent="0.25">
      <c r="A80" s="889"/>
      <c r="B80" s="901"/>
      <c r="C80" s="6"/>
      <c r="D80" s="6"/>
      <c r="E80" s="6"/>
      <c r="F80" s="6"/>
      <c r="G80" s="6"/>
      <c r="H80" s="6"/>
      <c r="I80" s="6"/>
      <c r="J80" s="6"/>
      <c r="K80" s="900"/>
      <c r="M80" s="760"/>
      <c r="N80" s="760"/>
      <c r="O80" s="760"/>
      <c r="P80" s="760"/>
      <c r="Q80" s="1249"/>
      <c r="R80" s="760"/>
      <c r="S80" s="760"/>
      <c r="T80" s="760"/>
      <c r="X80" s="760"/>
      <c r="Y80" s="760"/>
      <c r="Z80" s="900"/>
      <c r="AA80" s="895"/>
      <c r="AB80" s="902"/>
    </row>
    <row r="81" spans="1:28" s="747" customFormat="1" x14ac:dyDescent="0.25">
      <c r="A81" s="889"/>
      <c r="B81" s="890"/>
      <c r="C81" s="6"/>
      <c r="D81" s="6"/>
      <c r="E81" s="6"/>
      <c r="F81" s="6"/>
      <c r="G81" s="6"/>
      <c r="H81" s="6"/>
      <c r="I81" s="6"/>
      <c r="J81" s="6"/>
      <c r="K81" s="900"/>
      <c r="M81" s="760"/>
      <c r="N81" s="760"/>
      <c r="O81" s="760"/>
      <c r="P81" s="760"/>
      <c r="Q81" s="1249"/>
      <c r="R81" s="760"/>
      <c r="S81" s="760"/>
      <c r="T81" s="760"/>
      <c r="X81" s="760"/>
      <c r="Y81" s="760"/>
      <c r="Z81" s="900"/>
      <c r="AA81" s="895"/>
      <c r="AB81" s="902"/>
    </row>
    <row r="82" spans="1:28" s="747" customFormat="1" x14ac:dyDescent="0.25">
      <c r="A82" s="888"/>
      <c r="B82" s="901"/>
      <c r="C82" s="6"/>
      <c r="D82" s="6"/>
      <c r="E82" s="6"/>
      <c r="F82" s="6"/>
      <c r="G82" s="6"/>
      <c r="H82" s="6"/>
      <c r="I82" s="6"/>
      <c r="J82" s="6"/>
      <c r="K82" s="900"/>
      <c r="M82" s="760"/>
      <c r="N82" s="760"/>
      <c r="O82" s="760"/>
      <c r="P82" s="760"/>
      <c r="Q82" s="1249"/>
      <c r="R82" s="760"/>
      <c r="S82" s="760"/>
      <c r="T82" s="760"/>
      <c r="X82" s="760"/>
      <c r="Y82" s="760"/>
      <c r="Z82" s="900"/>
      <c r="AA82" s="895"/>
      <c r="AB82" s="902"/>
    </row>
    <row r="83" spans="1:28" s="747" customFormat="1" x14ac:dyDescent="0.25">
      <c r="A83" s="888"/>
      <c r="B83" s="901"/>
      <c r="C83" s="6"/>
      <c r="D83" s="6"/>
      <c r="E83" s="6"/>
      <c r="F83" s="6"/>
      <c r="G83" s="6"/>
      <c r="H83" s="6"/>
      <c r="I83" s="6"/>
      <c r="J83" s="6"/>
      <c r="K83" s="900"/>
      <c r="M83" s="760"/>
      <c r="N83" s="760"/>
      <c r="O83" s="760"/>
      <c r="P83" s="760"/>
      <c r="Q83" s="1249"/>
      <c r="R83" s="760"/>
      <c r="S83" s="760"/>
      <c r="T83" s="760"/>
      <c r="X83" s="760"/>
      <c r="Y83" s="760"/>
      <c r="Z83" s="900"/>
      <c r="AA83" s="895"/>
      <c r="AB83" s="902"/>
    </row>
    <row r="84" spans="1:28" s="747" customFormat="1" x14ac:dyDescent="0.25">
      <c r="A84" s="893"/>
      <c r="B84" s="890"/>
      <c r="C84" s="6"/>
      <c r="D84" s="6"/>
      <c r="E84" s="6"/>
      <c r="F84" s="6"/>
      <c r="G84" s="6"/>
      <c r="H84" s="6"/>
      <c r="I84" s="6"/>
      <c r="J84" s="6"/>
      <c r="K84" s="900"/>
      <c r="M84" s="760"/>
      <c r="N84" s="760"/>
      <c r="O84" s="760"/>
      <c r="P84" s="760"/>
      <c r="Q84" s="1249"/>
      <c r="R84" s="760"/>
      <c r="S84" s="760"/>
      <c r="T84" s="760"/>
      <c r="X84" s="760"/>
      <c r="Y84" s="760"/>
      <c r="AB84" s="902"/>
    </row>
    <row r="85" spans="1:28" s="747" customFormat="1" x14ac:dyDescent="0.25">
      <c r="A85" s="889"/>
      <c r="B85" s="890"/>
      <c r="C85" s="6"/>
      <c r="D85" s="6"/>
      <c r="E85" s="6"/>
      <c r="F85" s="6"/>
      <c r="G85" s="6"/>
      <c r="H85" s="6"/>
      <c r="I85" s="6"/>
      <c r="J85" s="6"/>
      <c r="K85" s="900"/>
      <c r="M85" s="760"/>
      <c r="N85" s="760"/>
      <c r="O85" s="760"/>
      <c r="P85" s="760"/>
      <c r="Q85" s="1249"/>
      <c r="R85" s="760"/>
      <c r="S85" s="760"/>
      <c r="T85" s="760"/>
      <c r="X85" s="760"/>
      <c r="Y85" s="760"/>
      <c r="Z85" s="900"/>
      <c r="AA85" s="895"/>
      <c r="AB85" s="902"/>
    </row>
    <row r="86" spans="1:28" s="747" customFormat="1" x14ac:dyDescent="0.25">
      <c r="A86" s="888"/>
      <c r="B86" s="890"/>
      <c r="C86" s="6"/>
      <c r="D86" s="6"/>
      <c r="E86" s="6"/>
      <c r="F86" s="6"/>
      <c r="G86" s="6"/>
      <c r="H86" s="6"/>
      <c r="I86" s="6"/>
      <c r="J86" s="6"/>
      <c r="K86" s="900"/>
      <c r="M86" s="760"/>
      <c r="N86" s="760"/>
      <c r="O86" s="760"/>
      <c r="P86" s="760"/>
      <c r="Q86" s="1249"/>
      <c r="R86" s="760"/>
      <c r="S86" s="760"/>
      <c r="T86" s="760"/>
      <c r="X86" s="760"/>
      <c r="Y86" s="760"/>
      <c r="Z86" s="900"/>
      <c r="AA86" s="895"/>
      <c r="AB86" s="902"/>
    </row>
    <row r="87" spans="1:28" s="747" customFormat="1" x14ac:dyDescent="0.25">
      <c r="A87" s="888"/>
      <c r="B87" s="890"/>
      <c r="C87" s="6"/>
      <c r="D87" s="6"/>
      <c r="E87" s="6"/>
      <c r="F87" s="6"/>
      <c r="G87" s="6"/>
      <c r="H87" s="6"/>
      <c r="I87" s="6"/>
      <c r="J87" s="6"/>
      <c r="K87" s="900"/>
      <c r="M87" s="760"/>
      <c r="N87" s="760"/>
      <c r="O87" s="760"/>
      <c r="P87" s="760"/>
      <c r="Q87" s="1249"/>
      <c r="R87" s="760"/>
      <c r="S87" s="760"/>
      <c r="T87" s="760"/>
      <c r="X87" s="760"/>
      <c r="Y87" s="760"/>
      <c r="Z87" s="900"/>
      <c r="AA87" s="895"/>
      <c r="AB87" s="902"/>
    </row>
    <row r="88" spans="1:28" s="747" customFormat="1" x14ac:dyDescent="0.25">
      <c r="A88" s="888"/>
      <c r="B88" s="901"/>
      <c r="C88" s="6"/>
      <c r="D88" s="6"/>
      <c r="E88" s="6"/>
      <c r="F88" s="6"/>
      <c r="G88" s="6"/>
      <c r="H88" s="6"/>
      <c r="I88" s="6"/>
      <c r="J88" s="6"/>
      <c r="K88" s="900"/>
      <c r="M88" s="760"/>
      <c r="N88" s="760"/>
      <c r="O88" s="760"/>
      <c r="P88" s="760"/>
      <c r="Q88" s="1249"/>
      <c r="R88" s="760"/>
      <c r="S88" s="760"/>
      <c r="T88" s="760"/>
      <c r="X88" s="760"/>
      <c r="Y88" s="760"/>
      <c r="Z88" s="900"/>
      <c r="AA88" s="895"/>
      <c r="AB88" s="902"/>
    </row>
    <row r="89" spans="1:28" s="747" customFormat="1" x14ac:dyDescent="0.25">
      <c r="A89" s="889"/>
      <c r="B89" s="901"/>
      <c r="C89" s="6"/>
      <c r="D89" s="6"/>
      <c r="E89" s="6"/>
      <c r="F89" s="6"/>
      <c r="G89" s="6"/>
      <c r="H89" s="6"/>
      <c r="I89" s="6"/>
      <c r="J89" s="6"/>
      <c r="K89" s="900"/>
      <c r="M89" s="760"/>
      <c r="N89" s="760"/>
      <c r="O89" s="760"/>
      <c r="P89" s="760"/>
      <c r="Q89" s="1249"/>
      <c r="R89" s="760"/>
      <c r="S89" s="760"/>
      <c r="T89" s="760"/>
      <c r="X89" s="760"/>
      <c r="Y89" s="760"/>
      <c r="Z89" s="900"/>
      <c r="AA89" s="895"/>
      <c r="AB89" s="902"/>
    </row>
    <row r="90" spans="1:28" s="747" customFormat="1" x14ac:dyDescent="0.25">
      <c r="A90" s="889"/>
      <c r="B90" s="901"/>
      <c r="C90" s="6"/>
      <c r="D90" s="6"/>
      <c r="E90" s="6"/>
      <c r="F90" s="6"/>
      <c r="G90" s="6"/>
      <c r="H90" s="6"/>
      <c r="I90" s="6"/>
      <c r="J90" s="6"/>
      <c r="K90" s="900"/>
      <c r="M90" s="760"/>
      <c r="N90" s="760"/>
      <c r="O90" s="760"/>
      <c r="P90" s="760"/>
      <c r="Q90" s="1249"/>
      <c r="R90" s="760"/>
      <c r="S90" s="760"/>
      <c r="T90" s="760"/>
      <c r="X90" s="760"/>
      <c r="Y90" s="760"/>
      <c r="Z90" s="900"/>
      <c r="AA90" s="895"/>
      <c r="AB90" s="902"/>
    </row>
    <row r="91" spans="1:28" s="747" customFormat="1" x14ac:dyDescent="0.25">
      <c r="A91" s="889"/>
      <c r="B91" s="890"/>
      <c r="C91" s="6"/>
      <c r="D91" s="6"/>
      <c r="E91" s="6"/>
      <c r="F91" s="6"/>
      <c r="G91" s="6"/>
      <c r="H91" s="6"/>
      <c r="I91" s="6"/>
      <c r="J91" s="6"/>
      <c r="K91" s="900"/>
      <c r="M91" s="760"/>
      <c r="N91" s="760"/>
      <c r="O91" s="760"/>
      <c r="P91" s="760"/>
      <c r="Q91" s="1249"/>
      <c r="R91" s="760"/>
      <c r="S91" s="760"/>
      <c r="T91" s="760"/>
      <c r="X91" s="760"/>
      <c r="Y91" s="760"/>
      <c r="Z91" s="900"/>
      <c r="AA91" s="895"/>
      <c r="AB91" s="902"/>
    </row>
    <row r="92" spans="1:28" s="747" customFormat="1" x14ac:dyDescent="0.25">
      <c r="A92" s="889"/>
      <c r="B92" s="890"/>
      <c r="C92" s="6"/>
      <c r="D92" s="6"/>
      <c r="E92" s="6"/>
      <c r="F92" s="6"/>
      <c r="G92" s="6"/>
      <c r="H92" s="6"/>
      <c r="I92" s="6"/>
      <c r="J92" s="6"/>
      <c r="K92" s="900"/>
      <c r="M92" s="760"/>
      <c r="N92" s="760"/>
      <c r="O92" s="760"/>
      <c r="P92" s="760"/>
      <c r="Q92" s="1249"/>
      <c r="R92" s="760"/>
      <c r="S92" s="760"/>
      <c r="T92" s="760"/>
      <c r="X92" s="760"/>
      <c r="Y92" s="760"/>
      <c r="Z92" s="900"/>
      <c r="AA92" s="895"/>
      <c r="AB92" s="902"/>
    </row>
    <row r="93" spans="1:28" s="747" customFormat="1" x14ac:dyDescent="0.25">
      <c r="A93" s="888"/>
      <c r="B93" s="901"/>
      <c r="C93" s="6"/>
      <c r="D93" s="6"/>
      <c r="E93" s="6"/>
      <c r="F93" s="6"/>
      <c r="G93" s="6"/>
      <c r="H93" s="6"/>
      <c r="I93" s="6"/>
      <c r="J93" s="6"/>
      <c r="K93" s="900"/>
      <c r="M93" s="760"/>
      <c r="N93" s="760"/>
      <c r="O93" s="760"/>
      <c r="P93" s="760"/>
      <c r="Q93" s="1249"/>
      <c r="R93" s="760"/>
      <c r="S93" s="760"/>
      <c r="T93" s="760"/>
      <c r="X93" s="760"/>
      <c r="Y93" s="760"/>
      <c r="Z93" s="900"/>
      <c r="AA93" s="895"/>
      <c r="AB93" s="902"/>
    </row>
    <row r="94" spans="1:28" s="747" customFormat="1" x14ac:dyDescent="0.25">
      <c r="A94" s="889"/>
      <c r="B94" s="890"/>
      <c r="C94" s="6"/>
      <c r="D94" s="6"/>
      <c r="E94" s="6"/>
      <c r="F94" s="6"/>
      <c r="G94" s="6"/>
      <c r="H94" s="6"/>
      <c r="I94" s="6"/>
      <c r="J94" s="6"/>
      <c r="K94" s="900"/>
      <c r="M94" s="760"/>
      <c r="N94" s="760"/>
      <c r="O94" s="760"/>
      <c r="P94" s="760"/>
      <c r="Q94" s="1249"/>
      <c r="R94" s="760"/>
      <c r="S94" s="760"/>
      <c r="T94" s="760"/>
      <c r="X94" s="760"/>
      <c r="Y94" s="760"/>
      <c r="Z94" s="900"/>
      <c r="AA94" s="895"/>
      <c r="AB94" s="902"/>
    </row>
    <row r="95" spans="1:28" s="747" customFormat="1" x14ac:dyDescent="0.25">
      <c r="A95" s="888"/>
      <c r="B95" s="901"/>
      <c r="C95" s="6"/>
      <c r="D95" s="6"/>
      <c r="E95" s="6"/>
      <c r="F95" s="6"/>
      <c r="G95" s="6"/>
      <c r="H95" s="6"/>
      <c r="I95" s="6"/>
      <c r="J95" s="6"/>
      <c r="K95" s="900"/>
      <c r="M95" s="760"/>
      <c r="N95" s="760"/>
      <c r="O95" s="760"/>
      <c r="P95" s="760"/>
      <c r="Q95" s="1249"/>
      <c r="R95" s="760"/>
      <c r="S95" s="760"/>
      <c r="T95" s="760"/>
      <c r="X95" s="760"/>
      <c r="Y95" s="760"/>
      <c r="Z95" s="900"/>
      <c r="AA95" s="895"/>
      <c r="AB95" s="902"/>
    </row>
    <row r="96" spans="1:28" s="747" customFormat="1" x14ac:dyDescent="0.25">
      <c r="A96" s="16"/>
      <c r="B96" s="901"/>
      <c r="C96" s="362"/>
      <c r="D96" s="362"/>
      <c r="E96" s="362"/>
      <c r="F96" s="362"/>
      <c r="G96" s="362"/>
      <c r="H96" s="362"/>
      <c r="I96" s="362"/>
      <c r="J96" s="362"/>
      <c r="K96" s="362"/>
      <c r="L96" s="362"/>
      <c r="M96" s="6"/>
      <c r="N96" s="6"/>
      <c r="O96" s="6"/>
      <c r="P96" s="6"/>
      <c r="Q96" s="1248"/>
      <c r="R96" s="6"/>
      <c r="S96" s="6"/>
      <c r="T96" s="6"/>
      <c r="U96" s="362"/>
      <c r="V96" s="362"/>
      <c r="W96" s="362"/>
      <c r="X96" s="6"/>
      <c r="Y96" s="6"/>
      <c r="Z96" s="362"/>
      <c r="AA96" s="362"/>
      <c r="AB96" s="362"/>
    </row>
    <row r="97" spans="2:25" s="747" customFormat="1" x14ac:dyDescent="0.25">
      <c r="M97" s="760"/>
      <c r="N97" s="760"/>
      <c r="O97" s="760"/>
      <c r="P97" s="760"/>
      <c r="Q97" s="1249"/>
      <c r="R97" s="760"/>
      <c r="S97" s="760"/>
      <c r="T97" s="760"/>
      <c r="X97" s="760"/>
      <c r="Y97" s="760"/>
    </row>
    <row r="98" spans="2:25" s="747" customFormat="1" x14ac:dyDescent="0.25">
      <c r="M98" s="760"/>
      <c r="N98" s="760"/>
      <c r="O98" s="760"/>
      <c r="P98" s="760"/>
      <c r="Q98" s="1249"/>
      <c r="R98" s="760"/>
      <c r="S98" s="760"/>
      <c r="T98" s="760"/>
      <c r="X98" s="760"/>
      <c r="Y98" s="760"/>
    </row>
    <row r="99" spans="2:25" s="747" customFormat="1" x14ac:dyDescent="0.25">
      <c r="M99" s="760"/>
      <c r="N99" s="760"/>
      <c r="O99" s="760"/>
      <c r="P99" s="760"/>
      <c r="Q99" s="1249"/>
      <c r="R99" s="760"/>
      <c r="S99" s="760"/>
      <c r="T99" s="760"/>
      <c r="X99" s="760"/>
      <c r="Y99" s="760"/>
    </row>
    <row r="102" spans="2:25" x14ac:dyDescent="0.25">
      <c r="B102" s="16"/>
    </row>
  </sheetData>
  <sortState ref="A35:C38">
    <sortCondition ref="B35:B38"/>
  </sortState>
  <mergeCells count="6">
    <mergeCell ref="A59:Z59"/>
    <mergeCell ref="A60:Z60"/>
    <mergeCell ref="A61:Z61"/>
    <mergeCell ref="A2:Z2"/>
    <mergeCell ref="A3:Z3"/>
    <mergeCell ref="A4:Z4"/>
  </mergeCells>
  <printOptions horizontalCentered="1" verticalCentered="1"/>
  <pageMargins left="1.0649606300000001" right="0.2" top="0.35433070866141703" bottom="0.196850393700787" header="0.3" footer="0.3"/>
  <pageSetup paperSize="5" scale="65" orientation="landscape" horizontalDpi="300" verticalDpi="300" r:id="rId1"/>
  <rowBreaks count="1" manualBreakCount="1">
    <brk id="5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92"/>
  <sheetViews>
    <sheetView view="pageBreakPreview" zoomScale="82" zoomScaleNormal="95" zoomScaleSheetLayoutView="82" workbookViewId="0">
      <pane xSplit="3" ySplit="10" topLeftCell="E66" activePane="bottomRight" state="frozen"/>
      <selection pane="topRight" activeCell="D1" sqref="D1"/>
      <selection pane="bottomLeft" activeCell="A11" sqref="A11"/>
      <selection pane="bottomRight" activeCell="H74" sqref="H74"/>
    </sheetView>
  </sheetViews>
  <sheetFormatPr defaultRowHeight="15" outlineLevelCol="2" x14ac:dyDescent="0.25"/>
  <cols>
    <col min="1" max="1" width="47.28515625" customWidth="1"/>
    <col min="2" max="3" width="12.7109375" customWidth="1"/>
    <col min="4" max="4" width="12.7109375" style="951" hidden="1" customWidth="1"/>
    <col min="5" max="6" width="12.7109375" style="951" customWidth="1"/>
    <col min="7" max="9" width="12.7109375" customWidth="1"/>
    <col min="10" max="11" width="12.7109375" hidden="1" customWidth="1"/>
    <col min="12" max="12" width="13.85546875" style="29" customWidth="1"/>
    <col min="13" max="13" width="12.7109375" hidden="1" customWidth="1" outlineLevel="1"/>
    <col min="14" max="14" width="12.7109375" style="2" hidden="1" customWidth="1" outlineLevel="1"/>
    <col min="15" max="24" width="12.7109375" style="2" hidden="1" customWidth="1" outlineLevel="2"/>
    <col min="25" max="25" width="12.7109375" style="2" customWidth="1" collapsed="1"/>
    <col min="26" max="26" width="13.85546875" style="2" customWidth="1"/>
    <col min="27" max="28" width="12.7109375" style="386" customWidth="1"/>
    <col min="29" max="29" width="15.5703125" style="386" customWidth="1"/>
  </cols>
  <sheetData>
    <row r="2" spans="1:29" x14ac:dyDescent="0.25">
      <c r="A2" s="1432" t="s">
        <v>352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1432"/>
      <c r="Y2" s="1432"/>
      <c r="Z2" s="1432"/>
      <c r="AA2" s="1432"/>
      <c r="AB2" s="1432"/>
      <c r="AC2" s="1432"/>
    </row>
    <row r="3" spans="1:29" x14ac:dyDescent="0.25">
      <c r="A3" s="1432" t="s">
        <v>353</v>
      </c>
      <c r="B3" s="1432"/>
      <c r="C3" s="1432"/>
      <c r="D3" s="1432"/>
      <c r="E3" s="1432"/>
      <c r="F3" s="1432"/>
      <c r="G3" s="1432"/>
      <c r="H3" s="1432"/>
      <c r="I3" s="1432"/>
      <c r="J3" s="1432"/>
      <c r="K3" s="1432"/>
      <c r="L3" s="1432"/>
      <c r="M3" s="1432"/>
      <c r="N3" s="1432"/>
      <c r="O3" s="1432"/>
      <c r="P3" s="1432"/>
      <c r="Q3" s="1432"/>
      <c r="R3" s="1432"/>
      <c r="S3" s="1432"/>
      <c r="T3" s="1432"/>
      <c r="U3" s="1432"/>
      <c r="V3" s="1432"/>
      <c r="W3" s="1432"/>
      <c r="X3" s="1432"/>
      <c r="Y3" s="1432"/>
      <c r="Z3" s="1432"/>
      <c r="AA3" s="1432"/>
      <c r="AB3" s="1432"/>
      <c r="AC3" s="1432"/>
    </row>
    <row r="4" spans="1:29" x14ac:dyDescent="0.25">
      <c r="A4" s="1434" t="str">
        <f>'PESO-1018'!A4:Z4</f>
        <v>For the Period October 1-31, 2021</v>
      </c>
      <c r="B4" s="1434"/>
      <c r="C4" s="1434"/>
      <c r="D4" s="1434"/>
      <c r="E4" s="1434"/>
      <c r="F4" s="1434"/>
      <c r="G4" s="1434"/>
      <c r="H4" s="1434"/>
      <c r="I4" s="1434"/>
      <c r="J4" s="1434"/>
      <c r="K4" s="1434"/>
      <c r="L4" s="1434"/>
      <c r="M4" s="1434"/>
      <c r="N4" s="1434"/>
      <c r="O4" s="1434"/>
      <c r="P4" s="1434"/>
      <c r="Q4" s="1434"/>
      <c r="R4" s="1434"/>
      <c r="S4" s="1434"/>
      <c r="T4" s="1434"/>
      <c r="U4" s="1434"/>
      <c r="V4" s="1434"/>
      <c r="W4" s="1434"/>
      <c r="X4" s="1434"/>
      <c r="Y4" s="1434"/>
      <c r="Z4" s="1434"/>
      <c r="AA4" s="1434"/>
      <c r="AB4" s="1434"/>
      <c r="AC4" s="1434"/>
    </row>
    <row r="5" spans="1:29" s="21" customFormat="1" ht="26.25" x14ac:dyDescent="0.25">
      <c r="A5" s="71" t="s">
        <v>347</v>
      </c>
      <c r="B5" s="71" t="s">
        <v>2</v>
      </c>
      <c r="C5" s="71" t="s">
        <v>133</v>
      </c>
      <c r="D5" s="71" t="s">
        <v>1227</v>
      </c>
      <c r="E5" s="1138" t="s">
        <v>1205</v>
      </c>
      <c r="F5" s="71" t="s">
        <v>1373</v>
      </c>
      <c r="G5" s="71" t="s">
        <v>1</v>
      </c>
      <c r="H5" s="71" t="s">
        <v>316</v>
      </c>
      <c r="I5" s="71" t="s">
        <v>314</v>
      </c>
      <c r="J5" s="82" t="s">
        <v>135</v>
      </c>
      <c r="K5" s="82"/>
      <c r="L5" s="74" t="s">
        <v>346</v>
      </c>
      <c r="M5" s="72"/>
      <c r="N5" s="72"/>
      <c r="O5" s="72"/>
      <c r="P5" s="72"/>
      <c r="Q5" s="83"/>
      <c r="R5" s="83"/>
      <c r="S5" s="83"/>
      <c r="T5" s="83"/>
      <c r="U5" s="83"/>
      <c r="V5" s="83"/>
      <c r="W5" s="83"/>
      <c r="X5" s="83"/>
      <c r="Y5" s="74" t="s">
        <v>316</v>
      </c>
      <c r="Z5" s="74" t="s">
        <v>348</v>
      </c>
      <c r="AA5" s="371" t="s">
        <v>1</v>
      </c>
      <c r="AB5" s="371" t="s">
        <v>131</v>
      </c>
      <c r="AC5" s="371" t="s">
        <v>131</v>
      </c>
    </row>
    <row r="6" spans="1:29" s="21" customFormat="1" x14ac:dyDescent="0.25">
      <c r="A6" s="69"/>
      <c r="B6" s="69" t="s">
        <v>3</v>
      </c>
      <c r="C6" s="69" t="s">
        <v>134</v>
      </c>
      <c r="D6" s="721"/>
      <c r="E6" s="721" t="s">
        <v>1395</v>
      </c>
      <c r="F6" s="1104">
        <v>44459</v>
      </c>
      <c r="G6" s="69" t="s">
        <v>314</v>
      </c>
      <c r="H6" s="69" t="s">
        <v>314</v>
      </c>
      <c r="I6" s="69" t="s">
        <v>315</v>
      </c>
      <c r="J6" s="84" t="s">
        <v>134</v>
      </c>
      <c r="K6" s="84" t="s">
        <v>136</v>
      </c>
      <c r="L6" s="70" t="s">
        <v>315</v>
      </c>
      <c r="M6" s="70" t="s">
        <v>0</v>
      </c>
      <c r="N6" s="70" t="s">
        <v>120</v>
      </c>
      <c r="O6" s="70" t="s">
        <v>121</v>
      </c>
      <c r="P6" s="70" t="s">
        <v>122</v>
      </c>
      <c r="Q6" s="70" t="s">
        <v>123</v>
      </c>
      <c r="R6" s="70" t="s">
        <v>124</v>
      </c>
      <c r="S6" s="70" t="s">
        <v>125</v>
      </c>
      <c r="T6" s="70" t="s">
        <v>126</v>
      </c>
      <c r="U6" s="70" t="s">
        <v>127</v>
      </c>
      <c r="V6" s="70" t="s">
        <v>128</v>
      </c>
      <c r="W6" s="70" t="s">
        <v>129</v>
      </c>
      <c r="X6" s="70" t="s">
        <v>130</v>
      </c>
      <c r="Y6" s="70" t="s">
        <v>317</v>
      </c>
      <c r="Z6" s="70" t="s">
        <v>315</v>
      </c>
      <c r="AA6" s="372" t="s">
        <v>317</v>
      </c>
      <c r="AB6" s="372" t="s">
        <v>314</v>
      </c>
      <c r="AC6" s="372" t="s">
        <v>132</v>
      </c>
    </row>
    <row r="7" spans="1:29" x14ac:dyDescent="0.25">
      <c r="A7" s="81" t="s">
        <v>364</v>
      </c>
      <c r="B7" s="48"/>
      <c r="C7" s="48"/>
      <c r="D7" s="869"/>
      <c r="E7" s="869"/>
      <c r="F7" s="869"/>
      <c r="G7" s="48"/>
      <c r="H7" s="48"/>
      <c r="I7" s="48"/>
      <c r="J7" s="48"/>
      <c r="K7" s="48"/>
      <c r="L7" s="99"/>
      <c r="M7" s="48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208"/>
      <c r="AB7" s="208"/>
      <c r="AC7" s="208"/>
    </row>
    <row r="8" spans="1:29" x14ac:dyDescent="0.25">
      <c r="A8" s="110" t="s">
        <v>510</v>
      </c>
      <c r="B8" s="114"/>
      <c r="C8" s="48"/>
      <c r="D8" s="869"/>
      <c r="E8" s="869"/>
      <c r="F8" s="869"/>
      <c r="G8" s="48"/>
      <c r="H8" s="48"/>
      <c r="I8" s="48"/>
      <c r="J8" s="48"/>
      <c r="K8" s="48"/>
      <c r="L8" s="99"/>
      <c r="M8" s="48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373"/>
      <c r="AB8" s="58"/>
      <c r="AC8" s="208"/>
    </row>
    <row r="9" spans="1:29" x14ac:dyDescent="0.25">
      <c r="A9" s="326" t="s">
        <v>523</v>
      </c>
      <c r="B9" s="114"/>
      <c r="C9" s="48"/>
      <c r="D9" s="869"/>
      <c r="E9" s="869"/>
      <c r="F9" s="869"/>
      <c r="G9" s="48"/>
      <c r="H9" s="48"/>
      <c r="I9" s="48"/>
      <c r="J9" s="48"/>
      <c r="K9" s="48"/>
      <c r="L9" s="99"/>
      <c r="M9" s="48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373"/>
      <c r="AB9" s="58"/>
      <c r="AC9" s="208"/>
    </row>
    <row r="10" spans="1:29" x14ac:dyDescent="0.25">
      <c r="A10" s="110" t="s">
        <v>524</v>
      </c>
      <c r="B10" s="114"/>
      <c r="C10" s="48"/>
      <c r="D10" s="869"/>
      <c r="E10" s="869"/>
      <c r="F10" s="869"/>
      <c r="G10" s="48"/>
      <c r="H10" s="48"/>
      <c r="I10" s="48"/>
      <c r="J10" s="48"/>
      <c r="K10" s="48"/>
      <c r="L10" s="99"/>
      <c r="M10" s="48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666"/>
      <c r="AB10" s="58"/>
      <c r="AC10" s="208"/>
    </row>
    <row r="11" spans="1:29" x14ac:dyDescent="0.25">
      <c r="A11" s="138" t="s">
        <v>405</v>
      </c>
      <c r="B11" s="46" t="s">
        <v>153</v>
      </c>
      <c r="C11" s="52">
        <v>13500</v>
      </c>
      <c r="D11" s="720"/>
      <c r="E11" s="720"/>
      <c r="F11" s="720"/>
      <c r="G11" s="52">
        <f>SUM(C11:F11)</f>
        <v>13500</v>
      </c>
      <c r="H11" s="52">
        <f>G11/12*9</f>
        <v>10125</v>
      </c>
      <c r="I11" s="52">
        <f t="shared" ref="I11:I66" si="0">G11/12</f>
        <v>1125</v>
      </c>
      <c r="J11" s="48"/>
      <c r="K11" s="48"/>
      <c r="L11" s="43">
        <f>H11+I11</f>
        <v>11250</v>
      </c>
      <c r="M11" s="48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>
        <f>M11+N11+O11+P11+Q11+R11+S11+T11+U11</f>
        <v>0</v>
      </c>
      <c r="Z11" s="90">
        <f>V11</f>
        <v>0</v>
      </c>
      <c r="AA11" s="666">
        <f t="shared" ref="AA11:AA66" si="1">Y11+Z11</f>
        <v>0</v>
      </c>
      <c r="AB11" s="58">
        <f>L11-AA11</f>
        <v>11250</v>
      </c>
      <c r="AC11" s="374">
        <f>G11-AA11</f>
        <v>13500</v>
      </c>
    </row>
    <row r="12" spans="1:29" x14ac:dyDescent="0.25">
      <c r="A12" s="274" t="s">
        <v>253</v>
      </c>
      <c r="B12" s="46" t="s">
        <v>93</v>
      </c>
      <c r="C12" s="52">
        <v>5500</v>
      </c>
      <c r="D12" s="720"/>
      <c r="E12" s="720"/>
      <c r="F12" s="720"/>
      <c r="G12" s="720">
        <f t="shared" ref="G12:G66" si="2">SUM(C12:F12)</f>
        <v>5500</v>
      </c>
      <c r="H12" s="720">
        <f t="shared" ref="H12:H66" si="3">G12/12*9</f>
        <v>4125</v>
      </c>
      <c r="I12" s="720">
        <f t="shared" si="0"/>
        <v>458.33333333333331</v>
      </c>
      <c r="J12" s="48"/>
      <c r="K12" s="48"/>
      <c r="L12" s="43">
        <f>H12+I12</f>
        <v>4583.333333333333</v>
      </c>
      <c r="M12" s="48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673">
        <f t="shared" ref="Y12:Y66" si="4">M12+N12+O12+P12+Q12+R12+S12+T12+U12</f>
        <v>0</v>
      </c>
      <c r="Z12" s="673">
        <f t="shared" ref="Z12:Z66" si="5">V12</f>
        <v>0</v>
      </c>
      <c r="AA12" s="666">
        <f t="shared" si="1"/>
        <v>0</v>
      </c>
      <c r="AB12" s="666">
        <f t="shared" ref="AB12:AB66" si="6">L12-AA12</f>
        <v>4583.333333333333</v>
      </c>
      <c r="AC12" s="374">
        <f t="shared" ref="AC12:AC66" si="7">G12-AA12</f>
        <v>5500</v>
      </c>
    </row>
    <row r="13" spans="1:29" x14ac:dyDescent="0.25">
      <c r="A13" s="389" t="s">
        <v>525</v>
      </c>
      <c r="B13" s="46"/>
      <c r="C13" s="52"/>
      <c r="D13" s="720"/>
      <c r="E13" s="720"/>
      <c r="F13" s="720"/>
      <c r="G13" s="720">
        <f t="shared" si="2"/>
        <v>0</v>
      </c>
      <c r="H13" s="720">
        <f t="shared" si="3"/>
        <v>0</v>
      </c>
      <c r="I13" s="720">
        <f t="shared" si="0"/>
        <v>0</v>
      </c>
      <c r="J13" s="48"/>
      <c r="K13" s="48"/>
      <c r="L13" s="43"/>
      <c r="M13" s="48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673">
        <f t="shared" si="4"/>
        <v>0</v>
      </c>
      <c r="Z13" s="673">
        <f t="shared" si="5"/>
        <v>0</v>
      </c>
      <c r="AA13" s="666">
        <f t="shared" si="1"/>
        <v>0</v>
      </c>
      <c r="AB13" s="666">
        <f t="shared" si="6"/>
        <v>0</v>
      </c>
      <c r="AC13" s="374">
        <f t="shared" si="7"/>
        <v>0</v>
      </c>
    </row>
    <row r="14" spans="1:29" x14ac:dyDescent="0.25">
      <c r="A14" s="325" t="s">
        <v>511</v>
      </c>
      <c r="B14" s="46"/>
      <c r="C14" s="52"/>
      <c r="D14" s="720"/>
      <c r="E14" s="720"/>
      <c r="F14" s="720"/>
      <c r="G14" s="720">
        <f t="shared" si="2"/>
        <v>0</v>
      </c>
      <c r="H14" s="720">
        <f t="shared" si="3"/>
        <v>0</v>
      </c>
      <c r="I14" s="720">
        <f t="shared" si="0"/>
        <v>0</v>
      </c>
      <c r="J14" s="48"/>
      <c r="K14" s="48"/>
      <c r="L14" s="43">
        <f t="shared" ref="L14:L20" si="8">H14+I14</f>
        <v>0</v>
      </c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673">
        <f t="shared" si="4"/>
        <v>0</v>
      </c>
      <c r="Z14" s="673">
        <f t="shared" si="5"/>
        <v>0</v>
      </c>
      <c r="AA14" s="666">
        <f t="shared" si="1"/>
        <v>0</v>
      </c>
      <c r="AB14" s="666">
        <f t="shared" si="6"/>
        <v>0</v>
      </c>
      <c r="AC14" s="374">
        <f t="shared" si="7"/>
        <v>0</v>
      </c>
    </row>
    <row r="15" spans="1:29" s="378" customFormat="1" x14ac:dyDescent="0.25">
      <c r="A15" s="390" t="s">
        <v>50</v>
      </c>
      <c r="B15" s="59"/>
      <c r="C15" s="375">
        <v>10000</v>
      </c>
      <c r="D15" s="375"/>
      <c r="E15" s="375"/>
      <c r="F15" s="375"/>
      <c r="G15" s="720">
        <f t="shared" si="2"/>
        <v>10000</v>
      </c>
      <c r="H15" s="720">
        <f t="shared" si="3"/>
        <v>7500</v>
      </c>
      <c r="I15" s="720">
        <f t="shared" si="0"/>
        <v>833.33333333333337</v>
      </c>
      <c r="J15" s="376"/>
      <c r="K15" s="376"/>
      <c r="L15" s="43">
        <f t="shared" si="8"/>
        <v>8333.3333333333339</v>
      </c>
      <c r="M15" s="377"/>
      <c r="N15" s="377"/>
      <c r="O15" s="377"/>
      <c r="P15" s="377"/>
      <c r="Q15" s="377"/>
      <c r="R15" s="377"/>
      <c r="S15" s="377">
        <v>975</v>
      </c>
      <c r="T15" s="377"/>
      <c r="U15" s="377"/>
      <c r="V15" s="377"/>
      <c r="W15" s="377"/>
      <c r="X15" s="377"/>
      <c r="Y15" s="673">
        <f t="shared" si="4"/>
        <v>975</v>
      </c>
      <c r="Z15" s="673">
        <f t="shared" si="5"/>
        <v>0</v>
      </c>
      <c r="AA15" s="666">
        <f t="shared" si="1"/>
        <v>975</v>
      </c>
      <c r="AB15" s="666">
        <f t="shared" si="6"/>
        <v>7358.3333333333339</v>
      </c>
      <c r="AC15" s="374">
        <f t="shared" si="7"/>
        <v>9025</v>
      </c>
    </row>
    <row r="16" spans="1:29" x14ac:dyDescent="0.25">
      <c r="A16" s="337" t="s">
        <v>152</v>
      </c>
      <c r="B16" s="54" t="s">
        <v>150</v>
      </c>
      <c r="C16" s="52">
        <v>3000</v>
      </c>
      <c r="D16" s="720"/>
      <c r="E16" s="720"/>
      <c r="F16" s="720"/>
      <c r="G16" s="720">
        <f t="shared" si="2"/>
        <v>3000</v>
      </c>
      <c r="H16" s="720">
        <f t="shared" si="3"/>
        <v>2250</v>
      </c>
      <c r="I16" s="720">
        <f t="shared" si="0"/>
        <v>250</v>
      </c>
      <c r="J16" s="48"/>
      <c r="K16" s="48"/>
      <c r="L16" s="43">
        <f t="shared" si="8"/>
        <v>2500</v>
      </c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673">
        <f t="shared" si="4"/>
        <v>0</v>
      </c>
      <c r="Z16" s="673">
        <f t="shared" si="5"/>
        <v>0</v>
      </c>
      <c r="AA16" s="666">
        <f t="shared" si="1"/>
        <v>0</v>
      </c>
      <c r="AB16" s="666">
        <f t="shared" si="6"/>
        <v>2500</v>
      </c>
      <c r="AC16" s="374">
        <f t="shared" si="7"/>
        <v>3000</v>
      </c>
    </row>
    <row r="17" spans="1:29" s="382" customFormat="1" x14ac:dyDescent="0.25">
      <c r="A17" s="391" t="s">
        <v>512</v>
      </c>
      <c r="B17" s="168" t="s">
        <v>70</v>
      </c>
      <c r="C17" s="122">
        <v>242000</v>
      </c>
      <c r="D17" s="677"/>
      <c r="E17" s="677"/>
      <c r="F17" s="677"/>
      <c r="G17" s="720">
        <f t="shared" si="2"/>
        <v>242000</v>
      </c>
      <c r="H17" s="720">
        <f t="shared" si="3"/>
        <v>181500</v>
      </c>
      <c r="I17" s="720">
        <f t="shared" si="0"/>
        <v>20166.666666666668</v>
      </c>
      <c r="J17" s="379"/>
      <c r="K17" s="379"/>
      <c r="L17" s="381">
        <f t="shared" si="8"/>
        <v>201666.66666666666</v>
      </c>
      <c r="M17" s="380"/>
      <c r="N17" s="380"/>
      <c r="O17" s="380"/>
      <c r="P17" s="380"/>
      <c r="Q17" s="380"/>
      <c r="R17" s="380"/>
      <c r="S17" s="380"/>
      <c r="T17" s="1251">
        <v>201616</v>
      </c>
      <c r="U17" s="380"/>
      <c r="V17" s="380"/>
      <c r="W17" s="380"/>
      <c r="X17" s="380"/>
      <c r="Y17" s="673">
        <f t="shared" si="4"/>
        <v>201616</v>
      </c>
      <c r="Z17" s="673">
        <f t="shared" si="5"/>
        <v>0</v>
      </c>
      <c r="AA17" s="666">
        <f t="shared" si="1"/>
        <v>201616</v>
      </c>
      <c r="AB17" s="666">
        <f t="shared" si="6"/>
        <v>50.666666666656965</v>
      </c>
      <c r="AC17" s="374">
        <f t="shared" si="7"/>
        <v>40384</v>
      </c>
    </row>
    <row r="18" spans="1:29" x14ac:dyDescent="0.25">
      <c r="A18" s="390" t="s">
        <v>405</v>
      </c>
      <c r="B18" s="46" t="s">
        <v>153</v>
      </c>
      <c r="C18" s="52">
        <v>3000</v>
      </c>
      <c r="D18" s="720"/>
      <c r="E18" s="720"/>
      <c r="F18" s="720"/>
      <c r="G18" s="720">
        <f t="shared" si="2"/>
        <v>3000</v>
      </c>
      <c r="H18" s="720">
        <f t="shared" si="3"/>
        <v>2250</v>
      </c>
      <c r="I18" s="720">
        <f t="shared" si="0"/>
        <v>250</v>
      </c>
      <c r="J18" s="48"/>
      <c r="K18" s="48"/>
      <c r="L18" s="43">
        <f t="shared" si="8"/>
        <v>2500</v>
      </c>
      <c r="M18" s="90"/>
      <c r="N18" s="90"/>
      <c r="O18" s="90"/>
      <c r="P18" s="90"/>
      <c r="Q18" s="90"/>
      <c r="R18" s="90"/>
      <c r="S18" s="90">
        <v>375</v>
      </c>
      <c r="T18" s="90"/>
      <c r="U18" s="90"/>
      <c r="V18" s="90"/>
      <c r="W18" s="90"/>
      <c r="X18" s="90"/>
      <c r="Y18" s="673">
        <f t="shared" si="4"/>
        <v>375</v>
      </c>
      <c r="Z18" s="673">
        <f t="shared" si="5"/>
        <v>0</v>
      </c>
      <c r="AA18" s="666">
        <f t="shared" si="1"/>
        <v>375</v>
      </c>
      <c r="AB18" s="666">
        <f t="shared" si="6"/>
        <v>2125</v>
      </c>
      <c r="AC18" s="374">
        <f t="shared" si="7"/>
        <v>2625</v>
      </c>
    </row>
    <row r="19" spans="1:29" x14ac:dyDescent="0.25">
      <c r="A19" s="337" t="s">
        <v>253</v>
      </c>
      <c r="B19" s="46" t="s">
        <v>93</v>
      </c>
      <c r="C19" s="52">
        <v>15000</v>
      </c>
      <c r="D19" s="720"/>
      <c r="E19" s="720"/>
      <c r="F19" s="720"/>
      <c r="G19" s="720">
        <f t="shared" si="2"/>
        <v>15000</v>
      </c>
      <c r="H19" s="720">
        <f t="shared" si="3"/>
        <v>11250</v>
      </c>
      <c r="I19" s="720">
        <f t="shared" si="0"/>
        <v>1250</v>
      </c>
      <c r="J19" s="48"/>
      <c r="K19" s="48"/>
      <c r="L19" s="43">
        <f t="shared" si="8"/>
        <v>12500</v>
      </c>
      <c r="M19" s="90"/>
      <c r="N19" s="90"/>
      <c r="O19" s="90"/>
      <c r="P19" s="90"/>
      <c r="Q19" s="90"/>
      <c r="R19" s="90"/>
      <c r="S19" s="90">
        <v>2018.5</v>
      </c>
      <c r="T19" s="1251">
        <f>4400+4800</f>
        <v>9200</v>
      </c>
      <c r="U19" s="90"/>
      <c r="V19" s="90"/>
      <c r="W19" s="90"/>
      <c r="X19" s="90"/>
      <c r="Y19" s="673">
        <f t="shared" si="4"/>
        <v>11218.5</v>
      </c>
      <c r="Z19" s="673">
        <f t="shared" si="5"/>
        <v>0</v>
      </c>
      <c r="AA19" s="666">
        <f t="shared" si="1"/>
        <v>11218.5</v>
      </c>
      <c r="AB19" s="666">
        <f t="shared" si="6"/>
        <v>1281.5</v>
      </c>
      <c r="AC19" s="374">
        <f t="shared" si="7"/>
        <v>3781.5</v>
      </c>
    </row>
    <row r="20" spans="1:29" x14ac:dyDescent="0.25">
      <c r="A20" s="337" t="s">
        <v>526</v>
      </c>
      <c r="B20" s="54" t="s">
        <v>100</v>
      </c>
      <c r="C20" s="52">
        <v>5000</v>
      </c>
      <c r="D20" s="720"/>
      <c r="E20" s="720"/>
      <c r="F20" s="720"/>
      <c r="G20" s="720">
        <f t="shared" si="2"/>
        <v>5000</v>
      </c>
      <c r="H20" s="720">
        <f t="shared" si="3"/>
        <v>3750</v>
      </c>
      <c r="I20" s="720">
        <f t="shared" si="0"/>
        <v>416.66666666666669</v>
      </c>
      <c r="J20" s="48"/>
      <c r="K20" s="48"/>
      <c r="L20" s="43">
        <f t="shared" si="8"/>
        <v>4166.666666666667</v>
      </c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673">
        <f t="shared" si="4"/>
        <v>0</v>
      </c>
      <c r="Z20" s="673">
        <f t="shared" si="5"/>
        <v>0</v>
      </c>
      <c r="AA20" s="666">
        <f t="shared" si="1"/>
        <v>0</v>
      </c>
      <c r="AB20" s="666">
        <f t="shared" si="6"/>
        <v>4166.666666666667</v>
      </c>
      <c r="AC20" s="374">
        <f t="shared" si="7"/>
        <v>5000</v>
      </c>
    </row>
    <row r="21" spans="1:29" x14ac:dyDescent="0.25">
      <c r="A21" s="257" t="s">
        <v>528</v>
      </c>
      <c r="B21" s="54"/>
      <c r="C21" s="52"/>
      <c r="D21" s="720"/>
      <c r="E21" s="720"/>
      <c r="F21" s="720"/>
      <c r="G21" s="720">
        <f t="shared" si="2"/>
        <v>0</v>
      </c>
      <c r="H21" s="720">
        <f t="shared" si="3"/>
        <v>0</v>
      </c>
      <c r="I21" s="720">
        <f t="shared" si="0"/>
        <v>0</v>
      </c>
      <c r="J21" s="48"/>
      <c r="K21" s="48"/>
      <c r="L21" s="43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673">
        <f t="shared" si="4"/>
        <v>0</v>
      </c>
      <c r="Z21" s="673">
        <f t="shared" si="5"/>
        <v>0</v>
      </c>
      <c r="AA21" s="666">
        <f t="shared" si="1"/>
        <v>0</v>
      </c>
      <c r="AB21" s="666">
        <f t="shared" si="6"/>
        <v>0</v>
      </c>
      <c r="AC21" s="374">
        <f t="shared" si="7"/>
        <v>0</v>
      </c>
    </row>
    <row r="22" spans="1:29" x14ac:dyDescent="0.25">
      <c r="A22" s="390" t="s">
        <v>44</v>
      </c>
      <c r="B22" s="54" t="s">
        <v>140</v>
      </c>
      <c r="C22" s="52">
        <v>15000</v>
      </c>
      <c r="D22" s="720"/>
      <c r="E22" s="720"/>
      <c r="F22" s="720"/>
      <c r="G22" s="720">
        <f t="shared" si="2"/>
        <v>15000</v>
      </c>
      <c r="H22" s="720">
        <f t="shared" si="3"/>
        <v>11250</v>
      </c>
      <c r="I22" s="720">
        <f t="shared" si="0"/>
        <v>1250</v>
      </c>
      <c r="J22" s="48"/>
      <c r="K22" s="48"/>
      <c r="L22" s="43">
        <f t="shared" ref="L22:L27" si="9">H22+I22</f>
        <v>12500</v>
      </c>
      <c r="M22" s="90"/>
      <c r="N22" s="90"/>
      <c r="O22" s="90"/>
      <c r="P22" s="90"/>
      <c r="Q22" s="90">
        <v>7680</v>
      </c>
      <c r="R22" s="90"/>
      <c r="S22" s="90"/>
      <c r="T22" s="90"/>
      <c r="U22" s="90"/>
      <c r="V22" s="90"/>
      <c r="W22" s="90"/>
      <c r="X22" s="90"/>
      <c r="Y22" s="673">
        <f t="shared" si="4"/>
        <v>7680</v>
      </c>
      <c r="Z22" s="673">
        <f t="shared" si="5"/>
        <v>0</v>
      </c>
      <c r="AA22" s="666">
        <f t="shared" si="1"/>
        <v>7680</v>
      </c>
      <c r="AB22" s="666">
        <f t="shared" si="6"/>
        <v>4820</v>
      </c>
      <c r="AC22" s="374">
        <f t="shared" si="7"/>
        <v>7320</v>
      </c>
    </row>
    <row r="23" spans="1:29" x14ac:dyDescent="0.25">
      <c r="A23" s="390" t="s">
        <v>50</v>
      </c>
      <c r="B23" s="54" t="s">
        <v>51</v>
      </c>
      <c r="C23" s="52">
        <v>5000</v>
      </c>
      <c r="D23" s="720"/>
      <c r="E23" s="720"/>
      <c r="F23" s="720"/>
      <c r="G23" s="720">
        <f t="shared" si="2"/>
        <v>5000</v>
      </c>
      <c r="H23" s="720">
        <f t="shared" si="3"/>
        <v>3750</v>
      </c>
      <c r="I23" s="720">
        <f t="shared" si="0"/>
        <v>416.66666666666669</v>
      </c>
      <c r="J23" s="48"/>
      <c r="K23" s="48"/>
      <c r="L23" s="43">
        <f t="shared" si="9"/>
        <v>4166.666666666667</v>
      </c>
      <c r="M23" s="90"/>
      <c r="N23" s="90"/>
      <c r="O23" s="90"/>
      <c r="P23" s="90"/>
      <c r="Q23" s="90"/>
      <c r="R23" s="90"/>
      <c r="S23" s="90"/>
      <c r="T23" s="1251">
        <v>5000</v>
      </c>
      <c r="U23" s="90"/>
      <c r="V23" s="90"/>
      <c r="W23" s="90"/>
      <c r="X23" s="90"/>
      <c r="Y23" s="673">
        <f t="shared" si="4"/>
        <v>5000</v>
      </c>
      <c r="Z23" s="673">
        <f t="shared" si="5"/>
        <v>0</v>
      </c>
      <c r="AA23" s="666">
        <f t="shared" si="1"/>
        <v>5000</v>
      </c>
      <c r="AB23" s="666">
        <f t="shared" si="6"/>
        <v>-833.33333333333303</v>
      </c>
      <c r="AC23" s="374">
        <f t="shared" si="7"/>
        <v>0</v>
      </c>
    </row>
    <row r="24" spans="1:29" x14ac:dyDescent="0.25">
      <c r="A24" s="337" t="s">
        <v>152</v>
      </c>
      <c r="B24" s="54" t="s">
        <v>150</v>
      </c>
      <c r="C24" s="52">
        <v>5000</v>
      </c>
      <c r="D24" s="720"/>
      <c r="E24" s="720"/>
      <c r="F24" s="720"/>
      <c r="G24" s="720">
        <f t="shared" si="2"/>
        <v>5000</v>
      </c>
      <c r="H24" s="720">
        <f t="shared" si="3"/>
        <v>3750</v>
      </c>
      <c r="I24" s="720">
        <f t="shared" si="0"/>
        <v>416.66666666666669</v>
      </c>
      <c r="J24" s="48"/>
      <c r="K24" s="48"/>
      <c r="L24" s="43">
        <f t="shared" si="9"/>
        <v>4166.666666666667</v>
      </c>
      <c r="M24" s="90"/>
      <c r="N24" s="90"/>
      <c r="O24" s="90"/>
      <c r="P24" s="90"/>
      <c r="Q24" s="90"/>
      <c r="R24" s="90"/>
      <c r="S24" s="90"/>
      <c r="T24" s="1251">
        <v>5000</v>
      </c>
      <c r="U24" s="90"/>
      <c r="V24" s="90"/>
      <c r="W24" s="90"/>
      <c r="X24" s="90"/>
      <c r="Y24" s="673">
        <f t="shared" si="4"/>
        <v>5000</v>
      </c>
      <c r="Z24" s="673">
        <f t="shared" si="5"/>
        <v>0</v>
      </c>
      <c r="AA24" s="666">
        <f t="shared" si="1"/>
        <v>5000</v>
      </c>
      <c r="AB24" s="666">
        <f t="shared" si="6"/>
        <v>-833.33333333333303</v>
      </c>
      <c r="AC24" s="374">
        <f t="shared" si="7"/>
        <v>0</v>
      </c>
    </row>
    <row r="25" spans="1:29" x14ac:dyDescent="0.25">
      <c r="A25" s="390" t="s">
        <v>217</v>
      </c>
      <c r="B25" s="54" t="s">
        <v>70</v>
      </c>
      <c r="C25" s="52">
        <v>15000</v>
      </c>
      <c r="D25" s="720"/>
      <c r="E25" s="720"/>
      <c r="F25" s="720"/>
      <c r="G25" s="720">
        <f t="shared" si="2"/>
        <v>15000</v>
      </c>
      <c r="H25" s="720">
        <f t="shared" si="3"/>
        <v>11250</v>
      </c>
      <c r="I25" s="720">
        <f t="shared" si="0"/>
        <v>1250</v>
      </c>
      <c r="J25" s="48"/>
      <c r="K25" s="48"/>
      <c r="L25" s="43">
        <f t="shared" si="9"/>
        <v>12500</v>
      </c>
      <c r="M25" s="90"/>
      <c r="N25" s="90"/>
      <c r="O25" s="90"/>
      <c r="P25" s="90"/>
      <c r="Q25" s="90"/>
      <c r="R25" s="90"/>
      <c r="S25" s="90"/>
      <c r="T25" s="1251">
        <v>11250</v>
      </c>
      <c r="U25" s="90"/>
      <c r="V25" s="90"/>
      <c r="W25" s="90"/>
      <c r="X25" s="90"/>
      <c r="Y25" s="673">
        <f t="shared" si="4"/>
        <v>11250</v>
      </c>
      <c r="Z25" s="673">
        <f t="shared" si="5"/>
        <v>0</v>
      </c>
      <c r="AA25" s="666">
        <f t="shared" si="1"/>
        <v>11250</v>
      </c>
      <c r="AB25" s="666">
        <f t="shared" si="6"/>
        <v>1250</v>
      </c>
      <c r="AC25" s="374">
        <f t="shared" si="7"/>
        <v>3750</v>
      </c>
    </row>
    <row r="26" spans="1:29" x14ac:dyDescent="0.25">
      <c r="A26" s="390" t="s">
        <v>253</v>
      </c>
      <c r="B26" s="54" t="s">
        <v>93</v>
      </c>
      <c r="C26" s="52">
        <v>20000</v>
      </c>
      <c r="D26" s="720"/>
      <c r="E26" s="720"/>
      <c r="F26" s="720"/>
      <c r="G26" s="720">
        <f t="shared" si="2"/>
        <v>20000</v>
      </c>
      <c r="H26" s="720">
        <f t="shared" si="3"/>
        <v>15000</v>
      </c>
      <c r="I26" s="720">
        <f t="shared" si="0"/>
        <v>1666.6666666666667</v>
      </c>
      <c r="J26" s="48"/>
      <c r="K26" s="48"/>
      <c r="L26" s="43">
        <f t="shared" si="9"/>
        <v>16666.666666666668</v>
      </c>
      <c r="M26" s="90"/>
      <c r="N26" s="90"/>
      <c r="O26" s="90"/>
      <c r="P26" s="90"/>
      <c r="Q26" s="90"/>
      <c r="R26" s="90"/>
      <c r="S26" s="90">
        <v>16250</v>
      </c>
      <c r="T26" s="1251">
        <v>3750</v>
      </c>
      <c r="U26" s="90"/>
      <c r="V26" s="90"/>
      <c r="W26" s="90"/>
      <c r="X26" s="90"/>
      <c r="Y26" s="673">
        <f t="shared" si="4"/>
        <v>20000</v>
      </c>
      <c r="Z26" s="673">
        <f t="shared" si="5"/>
        <v>0</v>
      </c>
      <c r="AA26" s="666">
        <f t="shared" si="1"/>
        <v>20000</v>
      </c>
      <c r="AB26" s="666">
        <f t="shared" si="6"/>
        <v>-3333.3333333333321</v>
      </c>
      <c r="AC26" s="374">
        <f t="shared" si="7"/>
        <v>0</v>
      </c>
    </row>
    <row r="27" spans="1:29" x14ac:dyDescent="0.25">
      <c r="A27" s="257" t="s">
        <v>527</v>
      </c>
      <c r="B27" s="54"/>
      <c r="C27" s="52"/>
      <c r="D27" s="720"/>
      <c r="E27" s="720"/>
      <c r="F27" s="720"/>
      <c r="G27" s="720">
        <f t="shared" si="2"/>
        <v>0</v>
      </c>
      <c r="H27" s="720">
        <f t="shared" si="3"/>
        <v>0</v>
      </c>
      <c r="I27" s="720">
        <f t="shared" si="0"/>
        <v>0</v>
      </c>
      <c r="J27" s="48"/>
      <c r="K27" s="48"/>
      <c r="L27" s="43">
        <f t="shared" si="9"/>
        <v>0</v>
      </c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673">
        <f t="shared" si="4"/>
        <v>0</v>
      </c>
      <c r="Z27" s="673">
        <f t="shared" si="5"/>
        <v>0</v>
      </c>
      <c r="AA27" s="666">
        <f t="shared" si="1"/>
        <v>0</v>
      </c>
      <c r="AB27" s="666">
        <f t="shared" si="6"/>
        <v>0</v>
      </c>
      <c r="AC27" s="374">
        <f t="shared" si="7"/>
        <v>0</v>
      </c>
    </row>
    <row r="28" spans="1:29" x14ac:dyDescent="0.25">
      <c r="A28" s="390" t="s">
        <v>44</v>
      </c>
      <c r="B28" s="54" t="s">
        <v>140</v>
      </c>
      <c r="C28" s="52">
        <v>15000</v>
      </c>
      <c r="D28" s="720"/>
      <c r="E28" s="720"/>
      <c r="F28" s="720"/>
      <c r="G28" s="720">
        <f t="shared" si="2"/>
        <v>15000</v>
      </c>
      <c r="H28" s="720">
        <f t="shared" si="3"/>
        <v>11250</v>
      </c>
      <c r="I28" s="720">
        <f t="shared" si="0"/>
        <v>1250</v>
      </c>
      <c r="J28" s="48"/>
      <c r="K28" s="48"/>
      <c r="L28" s="43">
        <f t="shared" ref="L28:L32" si="10">H28+I28</f>
        <v>12500</v>
      </c>
      <c r="M28" s="90"/>
      <c r="N28" s="90"/>
      <c r="O28" s="90"/>
      <c r="P28" s="90"/>
      <c r="Q28" s="90"/>
      <c r="R28" s="90"/>
      <c r="S28" s="90"/>
      <c r="T28" s="1251">
        <f>10000</f>
        <v>10000</v>
      </c>
      <c r="U28" s="90"/>
      <c r="V28" s="90"/>
      <c r="W28" s="90"/>
      <c r="X28" s="90"/>
      <c r="Y28" s="673">
        <f t="shared" si="4"/>
        <v>10000</v>
      </c>
      <c r="Z28" s="673">
        <f t="shared" si="5"/>
        <v>0</v>
      </c>
      <c r="AA28" s="666">
        <f t="shared" si="1"/>
        <v>10000</v>
      </c>
      <c r="AB28" s="666">
        <f t="shared" si="6"/>
        <v>2500</v>
      </c>
      <c r="AC28" s="374">
        <f t="shared" si="7"/>
        <v>5000</v>
      </c>
    </row>
    <row r="29" spans="1:29" x14ac:dyDescent="0.25">
      <c r="A29" s="390" t="s">
        <v>50</v>
      </c>
      <c r="B29" s="54" t="s">
        <v>51</v>
      </c>
      <c r="C29" s="52">
        <v>5000</v>
      </c>
      <c r="D29" s="720"/>
      <c r="E29" s="720"/>
      <c r="F29" s="720"/>
      <c r="G29" s="720">
        <f t="shared" si="2"/>
        <v>5000</v>
      </c>
      <c r="H29" s="720">
        <f t="shared" si="3"/>
        <v>3750</v>
      </c>
      <c r="I29" s="720">
        <f t="shared" si="0"/>
        <v>416.66666666666669</v>
      </c>
      <c r="J29" s="48"/>
      <c r="K29" s="48"/>
      <c r="L29" s="43">
        <f t="shared" si="10"/>
        <v>4166.666666666667</v>
      </c>
      <c r="M29" s="90"/>
      <c r="N29" s="90"/>
      <c r="O29" s="90"/>
      <c r="P29" s="90"/>
      <c r="Q29" s="90"/>
      <c r="R29" s="90"/>
      <c r="S29" s="90"/>
      <c r="T29" s="1251">
        <v>5000</v>
      </c>
      <c r="U29" s="90"/>
      <c r="V29" s="90"/>
      <c r="W29" s="90"/>
      <c r="X29" s="90"/>
      <c r="Y29" s="673">
        <f t="shared" si="4"/>
        <v>5000</v>
      </c>
      <c r="Z29" s="673">
        <f t="shared" si="5"/>
        <v>0</v>
      </c>
      <c r="AA29" s="666">
        <f t="shared" si="1"/>
        <v>5000</v>
      </c>
      <c r="AB29" s="666">
        <f t="shared" si="6"/>
        <v>-833.33333333333303</v>
      </c>
      <c r="AC29" s="374">
        <f t="shared" si="7"/>
        <v>0</v>
      </c>
    </row>
    <row r="30" spans="1:29" x14ac:dyDescent="0.25">
      <c r="A30" s="337" t="s">
        <v>152</v>
      </c>
      <c r="B30" s="54" t="s">
        <v>150</v>
      </c>
      <c r="C30" s="52">
        <v>5000</v>
      </c>
      <c r="D30" s="720"/>
      <c r="E30" s="720"/>
      <c r="F30" s="720"/>
      <c r="G30" s="720">
        <f t="shared" si="2"/>
        <v>5000</v>
      </c>
      <c r="H30" s="720">
        <f t="shared" si="3"/>
        <v>3750</v>
      </c>
      <c r="I30" s="720">
        <f t="shared" si="0"/>
        <v>416.66666666666669</v>
      </c>
      <c r="J30" s="48"/>
      <c r="K30" s="48"/>
      <c r="L30" s="43">
        <f t="shared" si="10"/>
        <v>4166.666666666667</v>
      </c>
      <c r="M30" s="90"/>
      <c r="N30" s="90"/>
      <c r="O30" s="90"/>
      <c r="P30" s="90"/>
      <c r="Q30" s="90"/>
      <c r="R30" s="90"/>
      <c r="S30" s="90"/>
      <c r="T30" s="1251">
        <v>5000</v>
      </c>
      <c r="U30" s="90"/>
      <c r="V30" s="90"/>
      <c r="W30" s="90"/>
      <c r="X30" s="90"/>
      <c r="Y30" s="673">
        <f t="shared" si="4"/>
        <v>5000</v>
      </c>
      <c r="Z30" s="673">
        <f t="shared" si="5"/>
        <v>0</v>
      </c>
      <c r="AA30" s="666">
        <f t="shared" si="1"/>
        <v>5000</v>
      </c>
      <c r="AB30" s="666">
        <f t="shared" si="6"/>
        <v>-833.33333333333303</v>
      </c>
      <c r="AC30" s="374">
        <f t="shared" si="7"/>
        <v>0</v>
      </c>
    </row>
    <row r="31" spans="1:29" x14ac:dyDescent="0.25">
      <c r="A31" s="390" t="s">
        <v>217</v>
      </c>
      <c r="B31" s="54" t="s">
        <v>70</v>
      </c>
      <c r="C31" s="52">
        <v>15000</v>
      </c>
      <c r="D31" s="720"/>
      <c r="E31" s="720"/>
      <c r="F31" s="720"/>
      <c r="G31" s="720">
        <f t="shared" si="2"/>
        <v>15000</v>
      </c>
      <c r="H31" s="720">
        <f t="shared" si="3"/>
        <v>11250</v>
      </c>
      <c r="I31" s="720">
        <f t="shared" si="0"/>
        <v>1250</v>
      </c>
      <c r="J31" s="48"/>
      <c r="K31" s="48"/>
      <c r="L31" s="43">
        <f t="shared" si="10"/>
        <v>12500</v>
      </c>
      <c r="M31" s="90"/>
      <c r="N31" s="90"/>
      <c r="O31" s="90"/>
      <c r="P31" s="90"/>
      <c r="Q31" s="90"/>
      <c r="R31" s="90"/>
      <c r="S31" s="90"/>
      <c r="T31" s="1251">
        <v>10000</v>
      </c>
      <c r="U31" s="90"/>
      <c r="V31" s="90"/>
      <c r="W31" s="90"/>
      <c r="X31" s="90"/>
      <c r="Y31" s="673">
        <f t="shared" si="4"/>
        <v>10000</v>
      </c>
      <c r="Z31" s="673">
        <f t="shared" si="5"/>
        <v>0</v>
      </c>
      <c r="AA31" s="666">
        <f t="shared" si="1"/>
        <v>10000</v>
      </c>
      <c r="AB31" s="666">
        <f t="shared" si="6"/>
        <v>2500</v>
      </c>
      <c r="AC31" s="374">
        <f t="shared" si="7"/>
        <v>5000</v>
      </c>
    </row>
    <row r="32" spans="1:29" x14ac:dyDescent="0.25">
      <c r="A32" s="390" t="s">
        <v>253</v>
      </c>
      <c r="B32" s="54" t="s">
        <v>93</v>
      </c>
      <c r="C32" s="52">
        <v>20000</v>
      </c>
      <c r="D32" s="720"/>
      <c r="E32" s="720"/>
      <c r="F32" s="720"/>
      <c r="G32" s="720">
        <f t="shared" si="2"/>
        <v>20000</v>
      </c>
      <c r="H32" s="720">
        <f t="shared" si="3"/>
        <v>15000</v>
      </c>
      <c r="I32" s="720">
        <f t="shared" si="0"/>
        <v>1666.6666666666667</v>
      </c>
      <c r="J32" s="48"/>
      <c r="K32" s="48"/>
      <c r="L32" s="43">
        <f t="shared" si="10"/>
        <v>16666.666666666668</v>
      </c>
      <c r="M32" s="90"/>
      <c r="N32" s="90"/>
      <c r="O32" s="90"/>
      <c r="P32" s="90"/>
      <c r="Q32" s="90"/>
      <c r="R32" s="90"/>
      <c r="S32" s="90"/>
      <c r="T32" s="1251">
        <v>18000</v>
      </c>
      <c r="U32" s="90"/>
      <c r="V32" s="90"/>
      <c r="W32" s="90"/>
      <c r="X32" s="90"/>
      <c r="Y32" s="673">
        <f t="shared" si="4"/>
        <v>18000</v>
      </c>
      <c r="Z32" s="673">
        <f t="shared" si="5"/>
        <v>0</v>
      </c>
      <c r="AA32" s="666">
        <f t="shared" si="1"/>
        <v>18000</v>
      </c>
      <c r="AB32" s="666">
        <f t="shared" si="6"/>
        <v>-1333.3333333333321</v>
      </c>
      <c r="AC32" s="374">
        <f t="shared" si="7"/>
        <v>2000</v>
      </c>
    </row>
    <row r="33" spans="1:29" x14ac:dyDescent="0.25">
      <c r="A33" s="358" t="s">
        <v>529</v>
      </c>
      <c r="B33" s="46"/>
      <c r="C33" s="52"/>
      <c r="D33" s="720"/>
      <c r="E33" s="720"/>
      <c r="F33" s="720"/>
      <c r="G33" s="720">
        <f t="shared" si="2"/>
        <v>0</v>
      </c>
      <c r="H33" s="720">
        <f t="shared" si="3"/>
        <v>0</v>
      </c>
      <c r="I33" s="720">
        <f t="shared" si="0"/>
        <v>0</v>
      </c>
      <c r="J33" s="48"/>
      <c r="K33" s="48"/>
      <c r="L33" s="43">
        <f>H33+I33</f>
        <v>0</v>
      </c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673">
        <f t="shared" si="4"/>
        <v>0</v>
      </c>
      <c r="Z33" s="673">
        <f t="shared" si="5"/>
        <v>0</v>
      </c>
      <c r="AA33" s="666">
        <f t="shared" si="1"/>
        <v>0</v>
      </c>
      <c r="AB33" s="666">
        <f t="shared" si="6"/>
        <v>0</v>
      </c>
      <c r="AC33" s="374">
        <f t="shared" si="7"/>
        <v>0</v>
      </c>
    </row>
    <row r="34" spans="1:29" x14ac:dyDescent="0.25">
      <c r="A34" s="390" t="s">
        <v>44</v>
      </c>
      <c r="B34" s="54" t="s">
        <v>140</v>
      </c>
      <c r="C34" s="52">
        <v>5000</v>
      </c>
      <c r="D34" s="720"/>
      <c r="E34" s="720"/>
      <c r="F34" s="720"/>
      <c r="G34" s="720">
        <f t="shared" si="2"/>
        <v>5000</v>
      </c>
      <c r="H34" s="720">
        <f t="shared" si="3"/>
        <v>3750</v>
      </c>
      <c r="I34" s="720">
        <f t="shared" si="0"/>
        <v>416.66666666666669</v>
      </c>
      <c r="J34" s="48"/>
      <c r="K34" s="48"/>
      <c r="L34" s="43">
        <f t="shared" ref="L34:L38" si="11">H34+I34</f>
        <v>4166.666666666667</v>
      </c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673">
        <f t="shared" si="4"/>
        <v>0</v>
      </c>
      <c r="Z34" s="673">
        <f t="shared" si="5"/>
        <v>0</v>
      </c>
      <c r="AA34" s="666">
        <f t="shared" si="1"/>
        <v>0</v>
      </c>
      <c r="AB34" s="666">
        <f t="shared" si="6"/>
        <v>4166.666666666667</v>
      </c>
      <c r="AC34" s="374">
        <f t="shared" si="7"/>
        <v>5000</v>
      </c>
    </row>
    <row r="35" spans="1:29" x14ac:dyDescent="0.25">
      <c r="A35" s="390" t="s">
        <v>50</v>
      </c>
      <c r="B35" s="54" t="s">
        <v>51</v>
      </c>
      <c r="C35" s="52">
        <v>2000</v>
      </c>
      <c r="D35" s="720"/>
      <c r="E35" s="720"/>
      <c r="F35" s="720"/>
      <c r="G35" s="720">
        <f t="shared" si="2"/>
        <v>2000</v>
      </c>
      <c r="H35" s="720">
        <f t="shared" si="3"/>
        <v>1500</v>
      </c>
      <c r="I35" s="720">
        <f t="shared" si="0"/>
        <v>166.66666666666666</v>
      </c>
      <c r="J35" s="48"/>
      <c r="K35" s="48"/>
      <c r="L35" s="43">
        <f t="shared" si="11"/>
        <v>1666.6666666666667</v>
      </c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673">
        <f t="shared" si="4"/>
        <v>0</v>
      </c>
      <c r="Z35" s="673">
        <f t="shared" si="5"/>
        <v>0</v>
      </c>
      <c r="AA35" s="666">
        <f t="shared" si="1"/>
        <v>0</v>
      </c>
      <c r="AB35" s="666">
        <f t="shared" si="6"/>
        <v>1666.6666666666667</v>
      </c>
      <c r="AC35" s="374">
        <f t="shared" si="7"/>
        <v>2000</v>
      </c>
    </row>
    <row r="36" spans="1:29" x14ac:dyDescent="0.25">
      <c r="A36" s="337" t="s">
        <v>152</v>
      </c>
      <c r="B36" s="54" t="s">
        <v>150</v>
      </c>
      <c r="C36" s="52">
        <v>1500</v>
      </c>
      <c r="D36" s="720"/>
      <c r="E36" s="720"/>
      <c r="F36" s="720"/>
      <c r="G36" s="720">
        <f t="shared" si="2"/>
        <v>1500</v>
      </c>
      <c r="H36" s="720">
        <f t="shared" si="3"/>
        <v>1125</v>
      </c>
      <c r="I36" s="720">
        <f t="shared" si="0"/>
        <v>125</v>
      </c>
      <c r="J36" s="48"/>
      <c r="K36" s="48"/>
      <c r="L36" s="43">
        <f t="shared" si="11"/>
        <v>1250</v>
      </c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673">
        <f t="shared" si="4"/>
        <v>0</v>
      </c>
      <c r="Z36" s="673">
        <f t="shared" si="5"/>
        <v>0</v>
      </c>
      <c r="AA36" s="666">
        <f t="shared" si="1"/>
        <v>0</v>
      </c>
      <c r="AB36" s="666">
        <f t="shared" si="6"/>
        <v>1250</v>
      </c>
      <c r="AC36" s="374">
        <f t="shared" si="7"/>
        <v>1500</v>
      </c>
    </row>
    <row r="37" spans="1:29" x14ac:dyDescent="0.25">
      <c r="A37" s="390" t="s">
        <v>217</v>
      </c>
      <c r="B37" s="54" t="s">
        <v>70</v>
      </c>
      <c r="C37" s="52">
        <v>3000</v>
      </c>
      <c r="D37" s="720"/>
      <c r="E37" s="720"/>
      <c r="F37" s="720"/>
      <c r="G37" s="720">
        <f t="shared" si="2"/>
        <v>3000</v>
      </c>
      <c r="H37" s="720">
        <f t="shared" si="3"/>
        <v>2250</v>
      </c>
      <c r="I37" s="720">
        <f t="shared" si="0"/>
        <v>250</v>
      </c>
      <c r="J37" s="48"/>
      <c r="K37" s="48"/>
      <c r="L37" s="43">
        <f t="shared" si="11"/>
        <v>2500</v>
      </c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673">
        <f t="shared" si="4"/>
        <v>0</v>
      </c>
      <c r="Z37" s="673">
        <f t="shared" si="5"/>
        <v>0</v>
      </c>
      <c r="AA37" s="666">
        <f t="shared" si="1"/>
        <v>0</v>
      </c>
      <c r="AB37" s="666">
        <f t="shared" si="6"/>
        <v>2500</v>
      </c>
      <c r="AC37" s="374">
        <f t="shared" si="7"/>
        <v>3000</v>
      </c>
    </row>
    <row r="38" spans="1:29" x14ac:dyDescent="0.25">
      <c r="A38" s="390" t="s">
        <v>253</v>
      </c>
      <c r="B38" s="54" t="s">
        <v>93</v>
      </c>
      <c r="C38" s="52">
        <v>30000</v>
      </c>
      <c r="D38" s="720"/>
      <c r="E38" s="720"/>
      <c r="F38" s="720"/>
      <c r="G38" s="720">
        <f t="shared" si="2"/>
        <v>30000</v>
      </c>
      <c r="H38" s="720">
        <f t="shared" si="3"/>
        <v>22500</v>
      </c>
      <c r="I38" s="720">
        <f t="shared" si="0"/>
        <v>2500</v>
      </c>
      <c r="J38" s="48"/>
      <c r="K38" s="48"/>
      <c r="L38" s="43">
        <f t="shared" si="11"/>
        <v>25000</v>
      </c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673">
        <f t="shared" si="4"/>
        <v>0</v>
      </c>
      <c r="Z38" s="673">
        <f t="shared" si="5"/>
        <v>0</v>
      </c>
      <c r="AA38" s="666">
        <f t="shared" si="1"/>
        <v>0</v>
      </c>
      <c r="AB38" s="666">
        <f t="shared" si="6"/>
        <v>25000</v>
      </c>
      <c r="AC38" s="374">
        <f t="shared" si="7"/>
        <v>30000</v>
      </c>
    </row>
    <row r="39" spans="1:29" x14ac:dyDescent="0.25">
      <c r="A39" s="358" t="s">
        <v>530</v>
      </c>
      <c r="B39" s="46"/>
      <c r="C39" s="52"/>
      <c r="D39" s="720"/>
      <c r="E39" s="720"/>
      <c r="F39" s="720"/>
      <c r="G39" s="720">
        <f t="shared" si="2"/>
        <v>0</v>
      </c>
      <c r="H39" s="720">
        <f t="shared" si="3"/>
        <v>0</v>
      </c>
      <c r="I39" s="720">
        <f t="shared" si="0"/>
        <v>0</v>
      </c>
      <c r="J39" s="48"/>
      <c r="K39" s="48"/>
      <c r="L39" s="43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673">
        <f t="shared" si="4"/>
        <v>0</v>
      </c>
      <c r="Z39" s="673">
        <f t="shared" si="5"/>
        <v>0</v>
      </c>
      <c r="AA39" s="666">
        <f t="shared" si="1"/>
        <v>0</v>
      </c>
      <c r="AB39" s="666">
        <f t="shared" si="6"/>
        <v>0</v>
      </c>
      <c r="AC39" s="374">
        <f t="shared" si="7"/>
        <v>0</v>
      </c>
    </row>
    <row r="40" spans="1:29" ht="39" x14ac:dyDescent="0.25">
      <c r="A40" s="392" t="s">
        <v>531</v>
      </c>
      <c r="B40" s="46"/>
      <c r="C40" s="52"/>
      <c r="D40" s="720"/>
      <c r="E40" s="720"/>
      <c r="F40" s="720"/>
      <c r="G40" s="720">
        <f t="shared" si="2"/>
        <v>0</v>
      </c>
      <c r="H40" s="720">
        <f t="shared" si="3"/>
        <v>0</v>
      </c>
      <c r="I40" s="720">
        <f t="shared" si="0"/>
        <v>0</v>
      </c>
      <c r="J40" s="48"/>
      <c r="K40" s="48"/>
      <c r="L40" s="43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673">
        <f t="shared" si="4"/>
        <v>0</v>
      </c>
      <c r="Z40" s="673">
        <f t="shared" si="5"/>
        <v>0</v>
      </c>
      <c r="AA40" s="666">
        <f t="shared" si="1"/>
        <v>0</v>
      </c>
      <c r="AB40" s="666">
        <f t="shared" si="6"/>
        <v>0</v>
      </c>
      <c r="AC40" s="374">
        <f t="shared" si="7"/>
        <v>0</v>
      </c>
    </row>
    <row r="41" spans="1:29" x14ac:dyDescent="0.25">
      <c r="A41" s="383" t="s">
        <v>513</v>
      </c>
      <c r="B41" s="46" t="s">
        <v>43</v>
      </c>
      <c r="C41" s="52">
        <f>75000</f>
        <v>75000</v>
      </c>
      <c r="D41" s="720"/>
      <c r="E41" s="720"/>
      <c r="F41" s="720"/>
      <c r="G41" s="720">
        <f t="shared" si="2"/>
        <v>75000</v>
      </c>
      <c r="H41" s="720">
        <f t="shared" si="3"/>
        <v>56250</v>
      </c>
      <c r="I41" s="720">
        <f t="shared" si="0"/>
        <v>6250</v>
      </c>
      <c r="J41" s="48"/>
      <c r="K41" s="48"/>
      <c r="L41" s="43">
        <f t="shared" ref="L41:L62" si="12">H41+I41</f>
        <v>62500</v>
      </c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673">
        <f t="shared" si="4"/>
        <v>0</v>
      </c>
      <c r="Z41" s="673">
        <f t="shared" si="5"/>
        <v>0</v>
      </c>
      <c r="AA41" s="666">
        <f t="shared" si="1"/>
        <v>0</v>
      </c>
      <c r="AB41" s="666">
        <f t="shared" si="6"/>
        <v>62500</v>
      </c>
      <c r="AC41" s="374">
        <f t="shared" si="7"/>
        <v>75000</v>
      </c>
    </row>
    <row r="42" spans="1:29" x14ac:dyDescent="0.25">
      <c r="A42" s="383" t="s">
        <v>44</v>
      </c>
      <c r="B42" s="46" t="s">
        <v>43</v>
      </c>
      <c r="C42" s="52">
        <v>100000</v>
      </c>
      <c r="D42" s="720"/>
      <c r="E42" s="720">
        <f>-60000</f>
        <v>-60000</v>
      </c>
      <c r="F42" s="720"/>
      <c r="G42" s="720">
        <f>SUM(C42:F42)</f>
        <v>40000</v>
      </c>
      <c r="H42" s="720">
        <f t="shared" si="3"/>
        <v>30000</v>
      </c>
      <c r="I42" s="720">
        <f t="shared" si="0"/>
        <v>3333.3333333333335</v>
      </c>
      <c r="J42" s="48"/>
      <c r="K42" s="48"/>
      <c r="L42" s="43">
        <f t="shared" si="12"/>
        <v>33333.333333333336</v>
      </c>
      <c r="M42" s="90"/>
      <c r="N42" s="90"/>
      <c r="O42" s="90"/>
      <c r="P42" s="90"/>
      <c r="Q42" s="90"/>
      <c r="R42" s="90"/>
      <c r="S42" s="90"/>
      <c r="T42" s="90"/>
      <c r="U42" s="90">
        <v>10714</v>
      </c>
      <c r="V42" s="90"/>
      <c r="W42" s="90"/>
      <c r="X42" s="90"/>
      <c r="Y42" s="673">
        <f t="shared" si="4"/>
        <v>10714</v>
      </c>
      <c r="Z42" s="673">
        <f t="shared" si="5"/>
        <v>0</v>
      </c>
      <c r="AA42" s="666">
        <f t="shared" si="1"/>
        <v>10714</v>
      </c>
      <c r="AB42" s="666">
        <f t="shared" si="6"/>
        <v>22619.333333333336</v>
      </c>
      <c r="AC42" s="374">
        <f t="shared" si="7"/>
        <v>29286</v>
      </c>
    </row>
    <row r="43" spans="1:29" x14ac:dyDescent="0.25">
      <c r="A43" s="383" t="s">
        <v>50</v>
      </c>
      <c r="B43" s="46" t="s">
        <v>51</v>
      </c>
      <c r="C43" s="52">
        <v>7000</v>
      </c>
      <c r="D43" s="720"/>
      <c r="E43" s="720"/>
      <c r="F43" s="720"/>
      <c r="G43" s="720">
        <f t="shared" si="2"/>
        <v>7000</v>
      </c>
      <c r="H43" s="720">
        <f t="shared" si="3"/>
        <v>5250</v>
      </c>
      <c r="I43" s="720">
        <f t="shared" si="0"/>
        <v>583.33333333333337</v>
      </c>
      <c r="J43" s="48"/>
      <c r="K43" s="48"/>
      <c r="L43" s="43">
        <f t="shared" si="12"/>
        <v>5833.333333333333</v>
      </c>
      <c r="M43" s="48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673">
        <f t="shared" si="4"/>
        <v>0</v>
      </c>
      <c r="Z43" s="673">
        <f t="shared" si="5"/>
        <v>0</v>
      </c>
      <c r="AA43" s="666">
        <f t="shared" si="1"/>
        <v>0</v>
      </c>
      <c r="AB43" s="666">
        <f t="shared" si="6"/>
        <v>5833.333333333333</v>
      </c>
      <c r="AC43" s="374">
        <f t="shared" si="7"/>
        <v>7000</v>
      </c>
    </row>
    <row r="44" spans="1:29" x14ac:dyDescent="0.25">
      <c r="A44" s="383" t="s">
        <v>514</v>
      </c>
      <c r="B44" s="46" t="s">
        <v>150</v>
      </c>
      <c r="C44" s="52">
        <v>470000</v>
      </c>
      <c r="D44" s="720"/>
      <c r="E44" s="720">
        <f>-90000</f>
        <v>-90000</v>
      </c>
      <c r="F44" s="720"/>
      <c r="G44" s="720">
        <f t="shared" si="2"/>
        <v>380000</v>
      </c>
      <c r="H44" s="720">
        <f t="shared" si="3"/>
        <v>285000</v>
      </c>
      <c r="I44" s="720">
        <f t="shared" si="0"/>
        <v>31666.666666666668</v>
      </c>
      <c r="J44" s="48"/>
      <c r="K44" s="48"/>
      <c r="L44" s="43">
        <f t="shared" si="12"/>
        <v>316666.66666666669</v>
      </c>
      <c r="M44" s="48"/>
      <c r="N44" s="90"/>
      <c r="O44" s="90"/>
      <c r="P44" s="90"/>
      <c r="Q44" s="90"/>
      <c r="R44" s="90"/>
      <c r="S44" s="90">
        <v>3100</v>
      </c>
      <c r="T44" s="90"/>
      <c r="U44" s="90">
        <v>13880</v>
      </c>
      <c r="V44" s="90"/>
      <c r="W44" s="90"/>
      <c r="X44" s="90"/>
      <c r="Y44" s="673">
        <f t="shared" si="4"/>
        <v>16980</v>
      </c>
      <c r="Z44" s="673">
        <f t="shared" si="5"/>
        <v>0</v>
      </c>
      <c r="AA44" s="666">
        <f t="shared" si="1"/>
        <v>16980</v>
      </c>
      <c r="AB44" s="666">
        <f t="shared" si="6"/>
        <v>299686.66666666669</v>
      </c>
      <c r="AC44" s="374">
        <f t="shared" si="7"/>
        <v>363020</v>
      </c>
    </row>
    <row r="45" spans="1:29" x14ac:dyDescent="0.25">
      <c r="A45" s="383" t="s">
        <v>221</v>
      </c>
      <c r="B45" s="46" t="s">
        <v>222</v>
      </c>
      <c r="C45" s="52">
        <v>2000</v>
      </c>
      <c r="D45" s="720"/>
      <c r="E45" s="720"/>
      <c r="F45" s="720"/>
      <c r="G45" s="720">
        <f t="shared" si="2"/>
        <v>2000</v>
      </c>
      <c r="H45" s="720">
        <f t="shared" si="3"/>
        <v>1500</v>
      </c>
      <c r="I45" s="720">
        <f t="shared" si="0"/>
        <v>166.66666666666666</v>
      </c>
      <c r="J45" s="48"/>
      <c r="K45" s="48"/>
      <c r="L45" s="43">
        <f t="shared" si="12"/>
        <v>1666.6666666666667</v>
      </c>
      <c r="M45" s="48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673">
        <f t="shared" si="4"/>
        <v>0</v>
      </c>
      <c r="Z45" s="673">
        <f t="shared" si="5"/>
        <v>0</v>
      </c>
      <c r="AA45" s="666">
        <f t="shared" si="1"/>
        <v>0</v>
      </c>
      <c r="AB45" s="666">
        <f t="shared" si="6"/>
        <v>1666.6666666666667</v>
      </c>
      <c r="AC45" s="374">
        <f t="shared" si="7"/>
        <v>2000</v>
      </c>
    </row>
    <row r="46" spans="1:29" x14ac:dyDescent="0.25">
      <c r="A46" s="383" t="s">
        <v>156</v>
      </c>
      <c r="B46" s="46" t="s">
        <v>157</v>
      </c>
      <c r="C46" s="52">
        <v>60000</v>
      </c>
      <c r="D46" s="720"/>
      <c r="E46" s="720"/>
      <c r="F46" s="720"/>
      <c r="G46" s="720">
        <f t="shared" si="2"/>
        <v>60000</v>
      </c>
      <c r="H46" s="720">
        <f t="shared" si="3"/>
        <v>45000</v>
      </c>
      <c r="I46" s="720">
        <f t="shared" si="0"/>
        <v>5000</v>
      </c>
      <c r="J46" s="48"/>
      <c r="K46" s="48"/>
      <c r="L46" s="43">
        <f t="shared" si="12"/>
        <v>50000</v>
      </c>
      <c r="M46" s="48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673">
        <f t="shared" si="4"/>
        <v>0</v>
      </c>
      <c r="Z46" s="673">
        <f t="shared" si="5"/>
        <v>0</v>
      </c>
      <c r="AA46" s="666">
        <f t="shared" si="1"/>
        <v>0</v>
      </c>
      <c r="AB46" s="666">
        <f t="shared" si="6"/>
        <v>50000</v>
      </c>
      <c r="AC46" s="374">
        <f t="shared" si="7"/>
        <v>60000</v>
      </c>
    </row>
    <row r="47" spans="1:29" hidden="1" x14ac:dyDescent="0.25">
      <c r="A47" s="155" t="s">
        <v>515</v>
      </c>
      <c r="B47" s="54" t="s">
        <v>516</v>
      </c>
      <c r="C47" s="52"/>
      <c r="D47" s="720"/>
      <c r="E47" s="720"/>
      <c r="F47" s="720"/>
      <c r="G47" s="720">
        <f t="shared" si="2"/>
        <v>0</v>
      </c>
      <c r="H47" s="720">
        <f t="shared" si="3"/>
        <v>0</v>
      </c>
      <c r="I47" s="720">
        <f t="shared" si="0"/>
        <v>0</v>
      </c>
      <c r="J47" s="48"/>
      <c r="K47" s="48"/>
      <c r="L47" s="43">
        <f t="shared" si="12"/>
        <v>0</v>
      </c>
      <c r="M47" s="48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673">
        <f t="shared" si="4"/>
        <v>0</v>
      </c>
      <c r="Z47" s="673">
        <f t="shared" si="5"/>
        <v>0</v>
      </c>
      <c r="AA47" s="666">
        <f t="shared" si="1"/>
        <v>0</v>
      </c>
      <c r="AB47" s="666">
        <f t="shared" si="6"/>
        <v>0</v>
      </c>
      <c r="AC47" s="374">
        <f t="shared" si="7"/>
        <v>0</v>
      </c>
    </row>
    <row r="48" spans="1:29" x14ac:dyDescent="0.25">
      <c r="A48" s="273" t="s">
        <v>517</v>
      </c>
      <c r="B48" s="46" t="s">
        <v>223</v>
      </c>
      <c r="C48" s="52">
        <v>50000</v>
      </c>
      <c r="D48" s="720"/>
      <c r="E48" s="720">
        <f>-30000</f>
        <v>-30000</v>
      </c>
      <c r="F48" s="720"/>
      <c r="G48" s="720">
        <f t="shared" si="2"/>
        <v>20000</v>
      </c>
      <c r="H48" s="720">
        <f t="shared" si="3"/>
        <v>15000</v>
      </c>
      <c r="I48" s="720">
        <f t="shared" si="0"/>
        <v>1666.6666666666667</v>
      </c>
      <c r="J48" s="48"/>
      <c r="K48" s="48"/>
      <c r="L48" s="43">
        <f t="shared" si="12"/>
        <v>16666.666666666668</v>
      </c>
      <c r="M48" s="48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673">
        <f t="shared" si="4"/>
        <v>0</v>
      </c>
      <c r="Z48" s="673">
        <f t="shared" si="5"/>
        <v>0</v>
      </c>
      <c r="AA48" s="666">
        <f t="shared" si="1"/>
        <v>0</v>
      </c>
      <c r="AB48" s="666">
        <f t="shared" si="6"/>
        <v>16666.666666666668</v>
      </c>
      <c r="AC48" s="374">
        <f t="shared" si="7"/>
        <v>20000</v>
      </c>
    </row>
    <row r="49" spans="1:29" x14ac:dyDescent="0.25">
      <c r="A49" s="274" t="s">
        <v>518</v>
      </c>
      <c r="B49" s="46" t="s">
        <v>70</v>
      </c>
      <c r="C49" s="52">
        <v>198000</v>
      </c>
      <c r="D49" s="720"/>
      <c r="E49" s="720"/>
      <c r="F49" s="720"/>
      <c r="G49" s="720">
        <f t="shared" si="2"/>
        <v>198000</v>
      </c>
      <c r="H49" s="720">
        <f t="shared" si="3"/>
        <v>148500</v>
      </c>
      <c r="I49" s="720">
        <f t="shared" si="0"/>
        <v>16500</v>
      </c>
      <c r="J49" s="48"/>
      <c r="K49" s="48"/>
      <c r="L49" s="43">
        <f t="shared" si="12"/>
        <v>165000</v>
      </c>
      <c r="M49" s="48"/>
      <c r="N49" s="90">
        <v>16000</v>
      </c>
      <c r="O49" s="90">
        <v>16000</v>
      </c>
      <c r="P49" s="90">
        <v>16000</v>
      </c>
      <c r="Q49" s="90">
        <v>16000</v>
      </c>
      <c r="R49" s="90">
        <v>18181.84</v>
      </c>
      <c r="S49" s="90">
        <v>11936.4</v>
      </c>
      <c r="T49" s="1251">
        <v>16000</v>
      </c>
      <c r="U49" s="90">
        <v>16000</v>
      </c>
      <c r="V49" s="90">
        <v>16000</v>
      </c>
      <c r="W49" s="90"/>
      <c r="X49" s="90"/>
      <c r="Y49" s="673">
        <f t="shared" si="4"/>
        <v>126118.23999999999</v>
      </c>
      <c r="Z49" s="673">
        <f t="shared" si="5"/>
        <v>16000</v>
      </c>
      <c r="AA49" s="666">
        <f t="shared" si="1"/>
        <v>142118.24</v>
      </c>
      <c r="AB49" s="666">
        <f t="shared" si="6"/>
        <v>22881.760000000009</v>
      </c>
      <c r="AC49" s="374">
        <f t="shared" si="7"/>
        <v>55881.760000000009</v>
      </c>
    </row>
    <row r="50" spans="1:29" x14ac:dyDescent="0.25">
      <c r="A50" s="273" t="s">
        <v>519</v>
      </c>
      <c r="B50" s="46" t="s">
        <v>93</v>
      </c>
      <c r="C50" s="52">
        <v>25000</v>
      </c>
      <c r="D50" s="720"/>
      <c r="E50" s="720"/>
      <c r="F50" s="720"/>
      <c r="G50" s="720">
        <f t="shared" si="2"/>
        <v>25000</v>
      </c>
      <c r="H50" s="720">
        <f t="shared" si="3"/>
        <v>18750</v>
      </c>
      <c r="I50" s="720">
        <f t="shared" si="0"/>
        <v>2083.3333333333335</v>
      </c>
      <c r="J50" s="48"/>
      <c r="K50" s="48"/>
      <c r="L50" s="43">
        <f t="shared" si="12"/>
        <v>20833.333333333332</v>
      </c>
      <c r="M50" s="48"/>
      <c r="N50" s="90"/>
      <c r="O50" s="90"/>
      <c r="P50" s="90"/>
      <c r="Q50" s="90"/>
      <c r="R50" s="90"/>
      <c r="S50" s="90"/>
      <c r="T50" s="90"/>
      <c r="U50" s="90">
        <v>9600</v>
      </c>
      <c r="V50" s="90"/>
      <c r="W50" s="90"/>
      <c r="X50" s="90"/>
      <c r="Y50" s="673">
        <f t="shared" si="4"/>
        <v>9600</v>
      </c>
      <c r="Z50" s="673">
        <f t="shared" si="5"/>
        <v>0</v>
      </c>
      <c r="AA50" s="666">
        <f t="shared" si="1"/>
        <v>9600</v>
      </c>
      <c r="AB50" s="666">
        <f t="shared" si="6"/>
        <v>11233.333333333332</v>
      </c>
      <c r="AC50" s="374">
        <f t="shared" si="7"/>
        <v>15400</v>
      </c>
    </row>
    <row r="51" spans="1:29" x14ac:dyDescent="0.25">
      <c r="A51" s="162" t="s">
        <v>220</v>
      </c>
      <c r="B51" s="46" t="s">
        <v>106</v>
      </c>
      <c r="C51" s="58">
        <v>15000</v>
      </c>
      <c r="D51" s="666"/>
      <c r="E51" s="666"/>
      <c r="F51" s="666"/>
      <c r="G51" s="720">
        <f t="shared" si="2"/>
        <v>15000</v>
      </c>
      <c r="H51" s="720">
        <f t="shared" si="3"/>
        <v>11250</v>
      </c>
      <c r="I51" s="720">
        <f t="shared" si="0"/>
        <v>1250</v>
      </c>
      <c r="J51" s="80">
        <f>SUM(J11:J50)</f>
        <v>0</v>
      </c>
      <c r="K51" s="80">
        <f>SUM(K11:K50)</f>
        <v>0</v>
      </c>
      <c r="L51" s="43">
        <f t="shared" si="12"/>
        <v>12500</v>
      </c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673">
        <f t="shared" si="4"/>
        <v>0</v>
      </c>
      <c r="Z51" s="673">
        <f t="shared" si="5"/>
        <v>0</v>
      </c>
      <c r="AA51" s="666">
        <f t="shared" si="1"/>
        <v>0</v>
      </c>
      <c r="AB51" s="666">
        <f t="shared" si="6"/>
        <v>12500</v>
      </c>
      <c r="AC51" s="374">
        <f t="shared" si="7"/>
        <v>15000</v>
      </c>
    </row>
    <row r="52" spans="1:29" x14ac:dyDescent="0.25">
      <c r="A52" s="110" t="s">
        <v>532</v>
      </c>
      <c r="B52" s="114"/>
      <c r="C52" s="48"/>
      <c r="D52" s="869"/>
      <c r="E52" s="869"/>
      <c r="F52" s="869"/>
      <c r="G52" s="720">
        <f t="shared" si="2"/>
        <v>0</v>
      </c>
      <c r="H52" s="720">
        <f t="shared" si="3"/>
        <v>0</v>
      </c>
      <c r="I52" s="720">
        <f t="shared" si="0"/>
        <v>0</v>
      </c>
      <c r="J52" s="48"/>
      <c r="K52" s="48"/>
      <c r="L52" s="43">
        <f t="shared" si="12"/>
        <v>0</v>
      </c>
      <c r="M52" s="48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673">
        <f t="shared" si="4"/>
        <v>0</v>
      </c>
      <c r="Z52" s="673">
        <f t="shared" si="5"/>
        <v>0</v>
      </c>
      <c r="AA52" s="666">
        <f t="shared" si="1"/>
        <v>0</v>
      </c>
      <c r="AB52" s="666">
        <f t="shared" si="6"/>
        <v>0</v>
      </c>
      <c r="AC52" s="374">
        <f t="shared" si="7"/>
        <v>0</v>
      </c>
    </row>
    <row r="53" spans="1:29" x14ac:dyDescent="0.25">
      <c r="A53" s="365" t="s">
        <v>520</v>
      </c>
      <c r="B53" s="46" t="s">
        <v>43</v>
      </c>
      <c r="C53" s="384">
        <v>20000</v>
      </c>
      <c r="D53" s="384"/>
      <c r="E53" s="384"/>
      <c r="F53" s="384"/>
      <c r="G53" s="720">
        <f t="shared" si="2"/>
        <v>20000</v>
      </c>
      <c r="H53" s="720">
        <f t="shared" si="3"/>
        <v>15000</v>
      </c>
      <c r="I53" s="720">
        <f t="shared" si="0"/>
        <v>1666.6666666666667</v>
      </c>
      <c r="J53" s="48"/>
      <c r="K53" s="48"/>
      <c r="L53" s="43">
        <f t="shared" si="12"/>
        <v>16666.666666666668</v>
      </c>
      <c r="M53" s="48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673">
        <f t="shared" si="4"/>
        <v>0</v>
      </c>
      <c r="Z53" s="673">
        <f t="shared" si="5"/>
        <v>0</v>
      </c>
      <c r="AA53" s="666">
        <f t="shared" si="1"/>
        <v>0</v>
      </c>
      <c r="AB53" s="666">
        <f t="shared" si="6"/>
        <v>16666.666666666668</v>
      </c>
      <c r="AC53" s="374">
        <f t="shared" si="7"/>
        <v>20000</v>
      </c>
    </row>
    <row r="54" spans="1:29" x14ac:dyDescent="0.25">
      <c r="A54" s="383" t="s">
        <v>44</v>
      </c>
      <c r="B54" s="46" t="s">
        <v>43</v>
      </c>
      <c r="C54" s="52">
        <v>30000</v>
      </c>
      <c r="D54" s="720"/>
      <c r="E54" s="720"/>
      <c r="F54" s="720"/>
      <c r="G54" s="720">
        <f t="shared" si="2"/>
        <v>30000</v>
      </c>
      <c r="H54" s="720">
        <f t="shared" si="3"/>
        <v>22500</v>
      </c>
      <c r="I54" s="720">
        <f t="shared" si="0"/>
        <v>2500</v>
      </c>
      <c r="J54" s="48"/>
      <c r="K54" s="48"/>
      <c r="L54" s="43">
        <f t="shared" si="12"/>
        <v>25000</v>
      </c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673">
        <f t="shared" si="4"/>
        <v>0</v>
      </c>
      <c r="Z54" s="673">
        <f t="shared" si="5"/>
        <v>0</v>
      </c>
      <c r="AA54" s="666">
        <f t="shared" si="1"/>
        <v>0</v>
      </c>
      <c r="AB54" s="666">
        <f t="shared" si="6"/>
        <v>25000</v>
      </c>
      <c r="AC54" s="374">
        <f t="shared" si="7"/>
        <v>30000</v>
      </c>
    </row>
    <row r="55" spans="1:29" x14ac:dyDescent="0.25">
      <c r="A55" s="383" t="s">
        <v>50</v>
      </c>
      <c r="B55" s="46" t="s">
        <v>51</v>
      </c>
      <c r="C55" s="52">
        <v>20000</v>
      </c>
      <c r="D55" s="720"/>
      <c r="E55" s="720"/>
      <c r="F55" s="720"/>
      <c r="G55" s="720">
        <f t="shared" si="2"/>
        <v>20000</v>
      </c>
      <c r="H55" s="720">
        <f t="shared" si="3"/>
        <v>15000</v>
      </c>
      <c r="I55" s="720">
        <f t="shared" si="0"/>
        <v>1666.6666666666667</v>
      </c>
      <c r="J55" s="48"/>
      <c r="K55" s="48"/>
      <c r="L55" s="43">
        <f t="shared" si="12"/>
        <v>16666.666666666668</v>
      </c>
      <c r="M55" s="48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673">
        <f t="shared" si="4"/>
        <v>0</v>
      </c>
      <c r="Z55" s="673">
        <f t="shared" si="5"/>
        <v>0</v>
      </c>
      <c r="AA55" s="666">
        <f t="shared" si="1"/>
        <v>0</v>
      </c>
      <c r="AB55" s="666">
        <f t="shared" si="6"/>
        <v>16666.666666666668</v>
      </c>
      <c r="AC55" s="374">
        <f t="shared" si="7"/>
        <v>20000</v>
      </c>
    </row>
    <row r="56" spans="1:29" x14ac:dyDescent="0.25">
      <c r="A56" s="162" t="s">
        <v>405</v>
      </c>
      <c r="B56" s="46" t="s">
        <v>150</v>
      </c>
      <c r="C56" s="384">
        <v>500000</v>
      </c>
      <c r="D56" s="384"/>
      <c r="E56" s="384"/>
      <c r="F56" s="384">
        <f>-250000</f>
        <v>-250000</v>
      </c>
      <c r="G56" s="720">
        <f t="shared" si="2"/>
        <v>250000</v>
      </c>
      <c r="H56" s="720">
        <f t="shared" si="3"/>
        <v>187500</v>
      </c>
      <c r="I56" s="720">
        <f t="shared" si="0"/>
        <v>20833.333333333332</v>
      </c>
      <c r="J56" s="48"/>
      <c r="K56" s="48"/>
      <c r="L56" s="43">
        <f t="shared" si="12"/>
        <v>208333.33333333334</v>
      </c>
      <c r="M56" s="48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673">
        <f t="shared" si="4"/>
        <v>0</v>
      </c>
      <c r="Z56" s="673">
        <f t="shared" si="5"/>
        <v>0</v>
      </c>
      <c r="AA56" s="666">
        <f t="shared" si="1"/>
        <v>0</v>
      </c>
      <c r="AB56" s="666">
        <f t="shared" si="6"/>
        <v>208333.33333333334</v>
      </c>
      <c r="AC56" s="374">
        <f t="shared" si="7"/>
        <v>250000</v>
      </c>
    </row>
    <row r="57" spans="1:29" x14ac:dyDescent="0.25">
      <c r="A57" s="383" t="s">
        <v>221</v>
      </c>
      <c r="B57" s="46" t="s">
        <v>222</v>
      </c>
      <c r="C57" s="52">
        <v>20000</v>
      </c>
      <c r="D57" s="720"/>
      <c r="E57" s="720"/>
      <c r="F57" s="720">
        <f>-20000</f>
        <v>-20000</v>
      </c>
      <c r="G57" s="720">
        <f t="shared" si="2"/>
        <v>0</v>
      </c>
      <c r="H57" s="720">
        <f t="shared" si="3"/>
        <v>0</v>
      </c>
      <c r="I57" s="720">
        <f t="shared" si="0"/>
        <v>0</v>
      </c>
      <c r="J57" s="48"/>
      <c r="K57" s="48"/>
      <c r="L57" s="43">
        <f t="shared" si="12"/>
        <v>0</v>
      </c>
      <c r="M57" s="48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673">
        <f t="shared" si="4"/>
        <v>0</v>
      </c>
      <c r="Z57" s="673">
        <f t="shared" si="5"/>
        <v>0</v>
      </c>
      <c r="AA57" s="666">
        <f t="shared" si="1"/>
        <v>0</v>
      </c>
      <c r="AB57" s="666">
        <f t="shared" si="6"/>
        <v>0</v>
      </c>
      <c r="AC57" s="374">
        <f t="shared" si="7"/>
        <v>0</v>
      </c>
    </row>
    <row r="58" spans="1:29" x14ac:dyDescent="0.25">
      <c r="A58" s="383" t="s">
        <v>156</v>
      </c>
      <c r="B58" s="46" t="s">
        <v>157</v>
      </c>
      <c r="C58" s="52">
        <v>30000</v>
      </c>
      <c r="D58" s="720"/>
      <c r="E58" s="720"/>
      <c r="F58" s="720">
        <f>-30000</f>
        <v>-30000</v>
      </c>
      <c r="G58" s="720">
        <f t="shared" si="2"/>
        <v>0</v>
      </c>
      <c r="H58" s="720">
        <f t="shared" si="3"/>
        <v>0</v>
      </c>
      <c r="I58" s="720">
        <f t="shared" si="0"/>
        <v>0</v>
      </c>
      <c r="J58" s="48"/>
      <c r="K58" s="48"/>
      <c r="L58" s="43">
        <f t="shared" si="12"/>
        <v>0</v>
      </c>
      <c r="M58" s="48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673">
        <f t="shared" si="4"/>
        <v>0</v>
      </c>
      <c r="Z58" s="673">
        <f t="shared" si="5"/>
        <v>0</v>
      </c>
      <c r="AA58" s="666">
        <f t="shared" si="1"/>
        <v>0</v>
      </c>
      <c r="AB58" s="666">
        <f t="shared" si="6"/>
        <v>0</v>
      </c>
      <c r="AC58" s="374">
        <f t="shared" si="7"/>
        <v>0</v>
      </c>
    </row>
    <row r="59" spans="1:29" hidden="1" x14ac:dyDescent="0.25">
      <c r="A59" s="155" t="s">
        <v>515</v>
      </c>
      <c r="B59" s="54" t="s">
        <v>516</v>
      </c>
      <c r="C59" s="52"/>
      <c r="D59" s="720"/>
      <c r="E59" s="720"/>
      <c r="F59" s="720"/>
      <c r="G59" s="720">
        <f t="shared" si="2"/>
        <v>0</v>
      </c>
      <c r="H59" s="720">
        <f t="shared" si="3"/>
        <v>0</v>
      </c>
      <c r="I59" s="720">
        <f t="shared" si="0"/>
        <v>0</v>
      </c>
      <c r="J59" s="48"/>
      <c r="K59" s="48"/>
      <c r="L59" s="43">
        <f t="shared" si="12"/>
        <v>0</v>
      </c>
      <c r="M59" s="48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673">
        <f t="shared" si="4"/>
        <v>0</v>
      </c>
      <c r="Z59" s="673">
        <f t="shared" si="5"/>
        <v>0</v>
      </c>
      <c r="AA59" s="666">
        <f t="shared" si="1"/>
        <v>0</v>
      </c>
      <c r="AB59" s="666">
        <f t="shared" si="6"/>
        <v>0</v>
      </c>
      <c r="AC59" s="374">
        <f t="shared" si="7"/>
        <v>0</v>
      </c>
    </row>
    <row r="60" spans="1:29" x14ac:dyDescent="0.25">
      <c r="A60" s="273" t="s">
        <v>517</v>
      </c>
      <c r="B60" s="46" t="s">
        <v>223</v>
      </c>
      <c r="C60" s="52">
        <v>50000</v>
      </c>
      <c r="D60" s="720"/>
      <c r="E60" s="720"/>
      <c r="F60" s="720">
        <f>-30000</f>
        <v>-30000</v>
      </c>
      <c r="G60" s="720">
        <f t="shared" si="2"/>
        <v>20000</v>
      </c>
      <c r="H60" s="720">
        <f t="shared" si="3"/>
        <v>15000</v>
      </c>
      <c r="I60" s="720">
        <f t="shared" si="0"/>
        <v>1666.6666666666667</v>
      </c>
      <c r="J60" s="48"/>
      <c r="K60" s="48"/>
      <c r="L60" s="43">
        <f t="shared" si="12"/>
        <v>16666.666666666668</v>
      </c>
      <c r="M60" s="48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673">
        <f t="shared" si="4"/>
        <v>0</v>
      </c>
      <c r="Z60" s="673">
        <f t="shared" si="5"/>
        <v>0</v>
      </c>
      <c r="AA60" s="666">
        <f t="shared" si="1"/>
        <v>0</v>
      </c>
      <c r="AB60" s="666">
        <f t="shared" si="6"/>
        <v>16666.666666666668</v>
      </c>
      <c r="AC60" s="374">
        <f t="shared" si="7"/>
        <v>20000</v>
      </c>
    </row>
    <row r="61" spans="1:29" x14ac:dyDescent="0.25">
      <c r="A61" s="274" t="s">
        <v>518</v>
      </c>
      <c r="B61" s="46" t="s">
        <v>70</v>
      </c>
      <c r="C61" s="52">
        <v>250000</v>
      </c>
      <c r="D61" s="720"/>
      <c r="E61" s="720"/>
      <c r="F61" s="720">
        <f>-200000</f>
        <v>-200000</v>
      </c>
      <c r="G61" s="720">
        <f t="shared" si="2"/>
        <v>50000</v>
      </c>
      <c r="H61" s="720">
        <f t="shared" si="3"/>
        <v>37500</v>
      </c>
      <c r="I61" s="720">
        <f t="shared" si="0"/>
        <v>4166.666666666667</v>
      </c>
      <c r="J61" s="48"/>
      <c r="K61" s="48"/>
      <c r="L61" s="43">
        <f t="shared" si="12"/>
        <v>41666.666666666664</v>
      </c>
      <c r="M61" s="48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673">
        <f t="shared" si="4"/>
        <v>0</v>
      </c>
      <c r="Z61" s="673">
        <f t="shared" si="5"/>
        <v>0</v>
      </c>
      <c r="AA61" s="666">
        <f t="shared" si="1"/>
        <v>0</v>
      </c>
      <c r="AB61" s="666">
        <f t="shared" si="6"/>
        <v>41666.666666666664</v>
      </c>
      <c r="AC61" s="374">
        <f t="shared" si="7"/>
        <v>50000</v>
      </c>
    </row>
    <row r="62" spans="1:29" x14ac:dyDescent="0.25">
      <c r="A62" s="162" t="s">
        <v>220</v>
      </c>
      <c r="B62" s="46" t="s">
        <v>106</v>
      </c>
      <c r="C62" s="58">
        <v>80000</v>
      </c>
      <c r="D62" s="666"/>
      <c r="E62" s="666"/>
      <c r="F62" s="666">
        <f>-70000</f>
        <v>-70000</v>
      </c>
      <c r="G62" s="720">
        <f t="shared" si="2"/>
        <v>10000</v>
      </c>
      <c r="H62" s="720">
        <f t="shared" si="3"/>
        <v>7500</v>
      </c>
      <c r="I62" s="720">
        <f t="shared" si="0"/>
        <v>833.33333333333337</v>
      </c>
      <c r="J62" s="80">
        <f>SUM(J22:J61)</f>
        <v>0</v>
      </c>
      <c r="K62" s="80">
        <f>SUM(K22:K61)</f>
        <v>0</v>
      </c>
      <c r="L62" s="43">
        <f t="shared" si="12"/>
        <v>8333.3333333333339</v>
      </c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673">
        <f t="shared" si="4"/>
        <v>0</v>
      </c>
      <c r="Z62" s="673">
        <f t="shared" si="5"/>
        <v>0</v>
      </c>
      <c r="AA62" s="666">
        <f t="shared" si="1"/>
        <v>0</v>
      </c>
      <c r="AB62" s="666">
        <f t="shared" si="6"/>
        <v>8333.3333333333339</v>
      </c>
      <c r="AC62" s="374">
        <f t="shared" si="7"/>
        <v>10000</v>
      </c>
    </row>
    <row r="63" spans="1:29" x14ac:dyDescent="0.25">
      <c r="A63" s="126" t="s">
        <v>533</v>
      </c>
      <c r="B63" s="46"/>
      <c r="C63" s="58"/>
      <c r="D63" s="666"/>
      <c r="E63" s="666"/>
      <c r="F63" s="666"/>
      <c r="G63" s="720">
        <f t="shared" si="2"/>
        <v>0</v>
      </c>
      <c r="H63" s="720">
        <f t="shared" si="3"/>
        <v>0</v>
      </c>
      <c r="I63" s="720">
        <f t="shared" si="0"/>
        <v>0</v>
      </c>
      <c r="J63" s="80"/>
      <c r="K63" s="80"/>
      <c r="L63" s="43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673">
        <f t="shared" si="4"/>
        <v>0</v>
      </c>
      <c r="Z63" s="673">
        <f t="shared" si="5"/>
        <v>0</v>
      </c>
      <c r="AA63" s="666">
        <f t="shared" si="1"/>
        <v>0</v>
      </c>
      <c r="AB63" s="666">
        <f t="shared" si="6"/>
        <v>0</v>
      </c>
      <c r="AC63" s="374">
        <f t="shared" si="7"/>
        <v>0</v>
      </c>
    </row>
    <row r="64" spans="1:29" x14ac:dyDescent="0.25">
      <c r="A64" s="162" t="s">
        <v>405</v>
      </c>
      <c r="B64" s="46" t="s">
        <v>150</v>
      </c>
      <c r="C64" s="384">
        <v>10000</v>
      </c>
      <c r="D64" s="384"/>
      <c r="E64" s="384"/>
      <c r="F64" s="384"/>
      <c r="G64" s="720">
        <f t="shared" si="2"/>
        <v>10000</v>
      </c>
      <c r="H64" s="720">
        <f t="shared" si="3"/>
        <v>7500</v>
      </c>
      <c r="I64" s="720">
        <f t="shared" si="0"/>
        <v>833.33333333333337</v>
      </c>
      <c r="J64" s="48"/>
      <c r="K64" s="48"/>
      <c r="L64" s="43">
        <f>H64+I64</f>
        <v>8333.3333333333339</v>
      </c>
      <c r="M64" s="48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673">
        <f t="shared" si="4"/>
        <v>0</v>
      </c>
      <c r="Z64" s="673">
        <f t="shared" si="5"/>
        <v>0</v>
      </c>
      <c r="AA64" s="666">
        <f t="shared" si="1"/>
        <v>0</v>
      </c>
      <c r="AB64" s="666">
        <f t="shared" si="6"/>
        <v>8333.3333333333339</v>
      </c>
      <c r="AC64" s="374">
        <f t="shared" si="7"/>
        <v>10000</v>
      </c>
    </row>
    <row r="65" spans="1:44" s="2" customFormat="1" x14ac:dyDescent="0.25">
      <c r="A65" s="281" t="s">
        <v>152</v>
      </c>
      <c r="B65" s="47" t="s">
        <v>153</v>
      </c>
      <c r="C65" s="52">
        <v>5000</v>
      </c>
      <c r="D65" s="720"/>
      <c r="E65" s="720"/>
      <c r="F65" s="720"/>
      <c r="G65" s="720">
        <f t="shared" si="2"/>
        <v>5000</v>
      </c>
      <c r="H65" s="720">
        <f t="shared" si="3"/>
        <v>3750</v>
      </c>
      <c r="I65" s="720">
        <f t="shared" si="0"/>
        <v>416.66666666666669</v>
      </c>
      <c r="J65" s="90"/>
      <c r="K65" s="90"/>
      <c r="L65" s="43">
        <f>H65+I65</f>
        <v>4166.666666666667</v>
      </c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673">
        <f t="shared" si="4"/>
        <v>0</v>
      </c>
      <c r="Z65" s="673">
        <f t="shared" si="5"/>
        <v>0</v>
      </c>
      <c r="AA65" s="666">
        <f t="shared" si="1"/>
        <v>0</v>
      </c>
      <c r="AB65" s="666">
        <f t="shared" si="6"/>
        <v>4166.666666666667</v>
      </c>
      <c r="AC65" s="374">
        <f t="shared" si="7"/>
        <v>5000</v>
      </c>
    </row>
    <row r="66" spans="1:44" s="2" customFormat="1" x14ac:dyDescent="0.25">
      <c r="A66" s="281" t="s">
        <v>253</v>
      </c>
      <c r="B66" s="47" t="s">
        <v>521</v>
      </c>
      <c r="C66" s="52">
        <v>15000</v>
      </c>
      <c r="D66" s="720"/>
      <c r="E66" s="720"/>
      <c r="F66" s="720"/>
      <c r="G66" s="720">
        <f t="shared" si="2"/>
        <v>15000</v>
      </c>
      <c r="H66" s="720">
        <f t="shared" si="3"/>
        <v>11250</v>
      </c>
      <c r="I66" s="720">
        <f t="shared" si="0"/>
        <v>1250</v>
      </c>
      <c r="J66" s="90"/>
      <c r="K66" s="90"/>
      <c r="L66" s="43">
        <f>H66+I66</f>
        <v>12500</v>
      </c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673">
        <f t="shared" si="4"/>
        <v>0</v>
      </c>
      <c r="Z66" s="673">
        <f t="shared" si="5"/>
        <v>0</v>
      </c>
      <c r="AA66" s="666">
        <f t="shared" si="1"/>
        <v>0</v>
      </c>
      <c r="AB66" s="666">
        <f t="shared" si="6"/>
        <v>12500</v>
      </c>
      <c r="AC66" s="374">
        <f t="shared" si="7"/>
        <v>15000</v>
      </c>
      <c r="AD66" s="402"/>
      <c r="AE66" s="402"/>
      <c r="AF66" s="402"/>
      <c r="AG66" s="402"/>
      <c r="AH66" s="402"/>
      <c r="AI66" s="402"/>
      <c r="AJ66" s="402"/>
      <c r="AK66" s="402"/>
      <c r="AL66" s="402"/>
      <c r="AM66" s="402"/>
      <c r="AN66" s="402"/>
      <c r="AO66" s="402"/>
      <c r="AP66" s="402"/>
      <c r="AQ66" s="402"/>
      <c r="AR66" s="402"/>
    </row>
    <row r="67" spans="1:44" s="303" customFormat="1" x14ac:dyDescent="0.25">
      <c r="A67" s="393" t="s">
        <v>522</v>
      </c>
      <c r="B67" s="394"/>
      <c r="C67" s="393">
        <f t="shared" ref="C67:L67" si="13">SUM(C11:C66)</f>
        <v>2490500</v>
      </c>
      <c r="D67" s="393">
        <f t="shared" si="13"/>
        <v>0</v>
      </c>
      <c r="E67" s="393">
        <f t="shared" si="13"/>
        <v>-180000</v>
      </c>
      <c r="F67" s="393">
        <f t="shared" si="13"/>
        <v>-600000</v>
      </c>
      <c r="G67" s="393">
        <f t="shared" si="13"/>
        <v>1710500</v>
      </c>
      <c r="H67" s="393">
        <f t="shared" si="13"/>
        <v>1282875</v>
      </c>
      <c r="I67" s="393">
        <f t="shared" si="13"/>
        <v>142541.66666666669</v>
      </c>
      <c r="J67" s="393">
        <f t="shared" si="13"/>
        <v>0</v>
      </c>
      <c r="K67" s="393">
        <f t="shared" si="13"/>
        <v>0</v>
      </c>
      <c r="L67" s="393">
        <f t="shared" si="13"/>
        <v>1425416.6666666667</v>
      </c>
      <c r="M67" s="393">
        <f t="shared" ref="M67:AC67" si="14">SUM(M11:M66)</f>
        <v>0</v>
      </c>
      <c r="N67" s="393">
        <f t="shared" si="14"/>
        <v>16000</v>
      </c>
      <c r="O67" s="393">
        <f t="shared" si="14"/>
        <v>16000</v>
      </c>
      <c r="P67" s="393">
        <f t="shared" si="14"/>
        <v>16000</v>
      </c>
      <c r="Q67" s="393">
        <f t="shared" si="14"/>
        <v>23680</v>
      </c>
      <c r="R67" s="393">
        <f t="shared" si="14"/>
        <v>18181.84</v>
      </c>
      <c r="S67" s="393">
        <f t="shared" si="14"/>
        <v>34654.9</v>
      </c>
      <c r="T67" s="393">
        <f>SUM(T11:T66)</f>
        <v>299816</v>
      </c>
      <c r="U67" s="393">
        <f t="shared" si="14"/>
        <v>50194</v>
      </c>
      <c r="V67" s="393">
        <f t="shared" si="14"/>
        <v>16000</v>
      </c>
      <c r="W67" s="393">
        <f t="shared" si="14"/>
        <v>0</v>
      </c>
      <c r="X67" s="393">
        <f t="shared" si="14"/>
        <v>0</v>
      </c>
      <c r="Y67" s="393">
        <f t="shared" si="14"/>
        <v>474526.74</v>
      </c>
      <c r="Z67" s="393">
        <f t="shared" si="14"/>
        <v>16000</v>
      </c>
      <c r="AA67" s="393">
        <f t="shared" si="14"/>
        <v>490526.74</v>
      </c>
      <c r="AB67" s="393">
        <f>SUM(AB11:AB66)</f>
        <v>934889.92666666664</v>
      </c>
      <c r="AC67" s="393">
        <f t="shared" si="14"/>
        <v>1219973.26</v>
      </c>
      <c r="AD67" s="400"/>
      <c r="AE67" s="400"/>
      <c r="AF67" s="400"/>
      <c r="AG67" s="400"/>
      <c r="AH67" s="400"/>
      <c r="AI67" s="400"/>
      <c r="AJ67" s="400"/>
      <c r="AK67" s="400"/>
      <c r="AL67" s="400"/>
      <c r="AM67" s="400"/>
      <c r="AN67" s="400"/>
      <c r="AO67" s="400"/>
      <c r="AP67" s="400"/>
      <c r="AQ67" s="400"/>
      <c r="AR67" s="400"/>
    </row>
    <row r="68" spans="1:44" s="265" customFormat="1" x14ac:dyDescent="0.25">
      <c r="A68" s="110" t="s">
        <v>109</v>
      </c>
      <c r="B68" s="147"/>
      <c r="C68" s="78"/>
      <c r="D68" s="726"/>
      <c r="E68" s="726"/>
      <c r="F68" s="726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400"/>
      <c r="AE68" s="400"/>
      <c r="AF68" s="400"/>
      <c r="AG68" s="400"/>
      <c r="AH68" s="400"/>
      <c r="AI68" s="400"/>
      <c r="AJ68" s="400"/>
      <c r="AK68" s="400"/>
      <c r="AL68" s="400"/>
      <c r="AM68" s="400"/>
      <c r="AN68" s="400"/>
      <c r="AO68" s="400"/>
      <c r="AP68" s="400"/>
      <c r="AQ68" s="400"/>
      <c r="AR68" s="400"/>
    </row>
    <row r="69" spans="1:44" s="265" customFormat="1" x14ac:dyDescent="0.25">
      <c r="A69" s="358" t="s">
        <v>530</v>
      </c>
      <c r="B69" s="147"/>
      <c r="C69" s="78"/>
      <c r="D69" s="726"/>
      <c r="E69" s="726"/>
      <c r="F69" s="726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400"/>
      <c r="AE69" s="400"/>
      <c r="AF69" s="400"/>
      <c r="AG69" s="400"/>
      <c r="AH69" s="400"/>
      <c r="AI69" s="400"/>
      <c r="AJ69" s="400"/>
      <c r="AK69" s="400"/>
      <c r="AL69" s="400"/>
      <c r="AM69" s="400"/>
      <c r="AN69" s="400"/>
      <c r="AO69" s="400"/>
      <c r="AP69" s="400"/>
      <c r="AQ69" s="400"/>
      <c r="AR69" s="400"/>
    </row>
    <row r="70" spans="1:44" s="265" customFormat="1" ht="39" x14ac:dyDescent="0.25">
      <c r="A70" s="392" t="s">
        <v>531</v>
      </c>
      <c r="B70" s="147"/>
      <c r="C70" s="78"/>
      <c r="D70" s="726"/>
      <c r="E70" s="726"/>
      <c r="F70" s="726"/>
      <c r="G70" s="720">
        <f t="shared" ref="G70:G75" si="15">SUM(C70:F70)</f>
        <v>0</v>
      </c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673">
        <f t="shared" ref="Y70:Y75" si="16">M70+N70+O70+P70+Q70+R70+S70+T70+U70</f>
        <v>0</v>
      </c>
      <c r="Z70" s="673">
        <f t="shared" ref="Z70:Z75" si="17">V70</f>
        <v>0</v>
      </c>
      <c r="AA70" s="373">
        <f t="shared" ref="AA70:AA73" si="18">Y70+Z70</f>
        <v>0</v>
      </c>
      <c r="AB70" s="666">
        <f t="shared" ref="AB70:AB73" si="19">L70-AA70</f>
        <v>0</v>
      </c>
      <c r="AC70" s="374">
        <f t="shared" ref="AC70:AC73" si="20">G70-AA70</f>
        <v>0</v>
      </c>
      <c r="AD70" s="400"/>
      <c r="AE70" s="400"/>
      <c r="AF70" s="400"/>
      <c r="AG70" s="400"/>
      <c r="AH70" s="400"/>
      <c r="AI70" s="400"/>
      <c r="AJ70" s="400"/>
      <c r="AK70" s="400"/>
      <c r="AL70" s="400"/>
      <c r="AM70" s="400"/>
      <c r="AN70" s="400"/>
      <c r="AO70" s="400"/>
      <c r="AP70" s="400"/>
      <c r="AQ70" s="400"/>
      <c r="AR70" s="400"/>
    </row>
    <row r="71" spans="1:44" s="265" customFormat="1" x14ac:dyDescent="0.25">
      <c r="A71" s="397" t="s">
        <v>299</v>
      </c>
      <c r="B71" s="147"/>
      <c r="C71" s="78"/>
      <c r="D71" s="726"/>
      <c r="E71" s="726"/>
      <c r="F71" s="726"/>
      <c r="G71" s="720">
        <f t="shared" si="15"/>
        <v>0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673">
        <f t="shared" si="16"/>
        <v>0</v>
      </c>
      <c r="Z71" s="673">
        <f t="shared" si="17"/>
        <v>0</v>
      </c>
      <c r="AA71" s="373">
        <f t="shared" si="18"/>
        <v>0</v>
      </c>
      <c r="AB71" s="666">
        <f t="shared" si="19"/>
        <v>0</v>
      </c>
      <c r="AC71" s="374">
        <f t="shared" si="20"/>
        <v>0</v>
      </c>
      <c r="AD71" s="400"/>
      <c r="AE71" s="400"/>
      <c r="AF71" s="400"/>
      <c r="AG71" s="400"/>
      <c r="AH71" s="400"/>
      <c r="AI71" s="400"/>
      <c r="AJ71" s="400"/>
      <c r="AK71" s="400"/>
      <c r="AL71" s="400"/>
      <c r="AM71" s="400"/>
      <c r="AN71" s="400"/>
      <c r="AO71" s="400"/>
      <c r="AP71" s="400"/>
      <c r="AQ71" s="400"/>
      <c r="AR71" s="400"/>
    </row>
    <row r="72" spans="1:44" s="265" customFormat="1" x14ac:dyDescent="0.25">
      <c r="A72" s="1270" t="s">
        <v>534</v>
      </c>
      <c r="B72" s="147" t="s">
        <v>114</v>
      </c>
      <c r="C72" s="78"/>
      <c r="D72" s="726"/>
      <c r="E72" s="726"/>
      <c r="F72" s="726"/>
      <c r="G72" s="720">
        <f t="shared" si="15"/>
        <v>0</v>
      </c>
      <c r="H72" s="720">
        <f>G72</f>
        <v>0</v>
      </c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673">
        <f t="shared" si="16"/>
        <v>0</v>
      </c>
      <c r="Z72" s="673">
        <f t="shared" si="17"/>
        <v>0</v>
      </c>
      <c r="AA72" s="373">
        <f t="shared" si="18"/>
        <v>0</v>
      </c>
      <c r="AB72" s="666">
        <f t="shared" si="19"/>
        <v>0</v>
      </c>
      <c r="AC72" s="374">
        <f t="shared" si="20"/>
        <v>0</v>
      </c>
      <c r="AD72" s="400"/>
      <c r="AE72" s="400"/>
      <c r="AF72" s="400"/>
      <c r="AG72" s="400"/>
      <c r="AH72" s="400"/>
      <c r="AI72" s="400"/>
      <c r="AJ72" s="400"/>
      <c r="AK72" s="400"/>
      <c r="AL72" s="400"/>
      <c r="AM72" s="400"/>
      <c r="AN72" s="400"/>
      <c r="AO72" s="400"/>
      <c r="AP72" s="400"/>
      <c r="AQ72" s="400"/>
      <c r="AR72" s="400"/>
    </row>
    <row r="73" spans="1:44" s="265" customFormat="1" ht="26.25" x14ac:dyDescent="0.25">
      <c r="A73" s="401" t="s">
        <v>535</v>
      </c>
      <c r="B73" s="147"/>
      <c r="C73" s="52">
        <f>200000</f>
        <v>200000</v>
      </c>
      <c r="D73" s="720">
        <v>0</v>
      </c>
      <c r="E73" s="720"/>
      <c r="F73" s="720"/>
      <c r="G73" s="720">
        <f t="shared" si="15"/>
        <v>200000</v>
      </c>
      <c r="H73" s="52">
        <f>G73</f>
        <v>200000</v>
      </c>
      <c r="I73" s="52">
        <f>G73</f>
        <v>200000</v>
      </c>
      <c r="J73" s="52"/>
      <c r="K73" s="52"/>
      <c r="L73" s="52">
        <f>G73</f>
        <v>200000</v>
      </c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673">
        <f t="shared" si="16"/>
        <v>0</v>
      </c>
      <c r="Z73" s="673">
        <f t="shared" si="17"/>
        <v>0</v>
      </c>
      <c r="AA73" s="373">
        <f t="shared" si="18"/>
        <v>0</v>
      </c>
      <c r="AB73" s="666">
        <f t="shared" si="19"/>
        <v>200000</v>
      </c>
      <c r="AC73" s="374">
        <f t="shared" si="20"/>
        <v>200000</v>
      </c>
      <c r="AD73" s="400"/>
      <c r="AE73" s="400"/>
      <c r="AF73" s="400"/>
      <c r="AG73" s="400"/>
      <c r="AH73" s="400"/>
      <c r="AI73" s="400"/>
      <c r="AJ73" s="400"/>
      <c r="AK73" s="400"/>
      <c r="AL73" s="400"/>
      <c r="AM73" s="400"/>
      <c r="AN73" s="400"/>
      <c r="AO73" s="400"/>
      <c r="AP73" s="400"/>
      <c r="AQ73" s="400"/>
      <c r="AR73" s="400"/>
    </row>
    <row r="74" spans="1:44" s="760" customFormat="1" x14ac:dyDescent="0.25">
      <c r="A74" s="401" t="s">
        <v>1372</v>
      </c>
      <c r="B74" s="991"/>
      <c r="C74" s="720"/>
      <c r="D74" s="720"/>
      <c r="E74" s="720"/>
      <c r="F74" s="720">
        <v>700000</v>
      </c>
      <c r="G74" s="720">
        <f t="shared" si="15"/>
        <v>700000</v>
      </c>
      <c r="H74" s="720">
        <f>G74</f>
        <v>700000</v>
      </c>
      <c r="I74" s="720">
        <f>G74</f>
        <v>700000</v>
      </c>
      <c r="J74" s="720"/>
      <c r="K74" s="720"/>
      <c r="L74" s="720">
        <f>G74</f>
        <v>700000</v>
      </c>
      <c r="M74" s="720"/>
      <c r="N74" s="720"/>
      <c r="O74" s="720"/>
      <c r="P74" s="720"/>
      <c r="Q74" s="720"/>
      <c r="R74" s="720"/>
      <c r="S74" s="720"/>
      <c r="T74" s="720"/>
      <c r="U74" s="720"/>
      <c r="V74" s="720"/>
      <c r="W74" s="720"/>
      <c r="X74" s="720"/>
      <c r="Y74" s="673">
        <f t="shared" si="16"/>
        <v>0</v>
      </c>
      <c r="Z74" s="673">
        <f t="shared" si="17"/>
        <v>0</v>
      </c>
      <c r="AA74" s="373">
        <f t="shared" ref="AA74" si="21">Y74+Z74</f>
        <v>0</v>
      </c>
      <c r="AB74" s="666">
        <f t="shared" ref="AB74" si="22">L74-AA74</f>
        <v>700000</v>
      </c>
      <c r="AC74" s="374">
        <f t="shared" ref="AC74" si="23">G74-AA74</f>
        <v>700000</v>
      </c>
    </row>
    <row r="75" spans="1:44" s="760" customFormat="1" x14ac:dyDescent="0.25">
      <c r="A75" s="401"/>
      <c r="B75" s="991"/>
      <c r="C75" s="720"/>
      <c r="D75" s="720"/>
      <c r="E75" s="720"/>
      <c r="F75" s="720"/>
      <c r="G75" s="720">
        <f t="shared" si="15"/>
        <v>0</v>
      </c>
      <c r="H75" s="720"/>
      <c r="I75" s="720"/>
      <c r="J75" s="720"/>
      <c r="K75" s="720"/>
      <c r="L75" s="720"/>
      <c r="M75" s="720"/>
      <c r="N75" s="720"/>
      <c r="O75" s="720"/>
      <c r="P75" s="720"/>
      <c r="Q75" s="720"/>
      <c r="R75" s="720"/>
      <c r="S75" s="720"/>
      <c r="T75" s="720"/>
      <c r="U75" s="720"/>
      <c r="V75" s="720"/>
      <c r="W75" s="720"/>
      <c r="X75" s="720"/>
      <c r="Y75" s="673">
        <f t="shared" si="16"/>
        <v>0</v>
      </c>
      <c r="Z75" s="673">
        <f t="shared" si="17"/>
        <v>0</v>
      </c>
      <c r="AA75" s="373"/>
      <c r="AB75" s="666"/>
      <c r="AC75" s="374"/>
    </row>
    <row r="76" spans="1:44" s="400" customFormat="1" x14ac:dyDescent="0.25">
      <c r="A76" s="397" t="s">
        <v>298</v>
      </c>
      <c r="B76" s="147"/>
      <c r="C76" s="78">
        <f>SUM(C73:C75)</f>
        <v>200000</v>
      </c>
      <c r="D76" s="726">
        <f t="shared" ref="D76:AC76" si="24">SUM(D73:D75)</f>
        <v>0</v>
      </c>
      <c r="E76" s="726">
        <f>SUM(E73:E75)</f>
        <v>0</v>
      </c>
      <c r="F76" s="726">
        <f t="shared" si="24"/>
        <v>700000</v>
      </c>
      <c r="G76" s="726">
        <f t="shared" si="24"/>
        <v>900000</v>
      </c>
      <c r="H76" s="726">
        <f t="shared" si="24"/>
        <v>900000</v>
      </c>
      <c r="I76" s="726">
        <f t="shared" si="24"/>
        <v>900000</v>
      </c>
      <c r="J76" s="726">
        <f t="shared" si="24"/>
        <v>0</v>
      </c>
      <c r="K76" s="726">
        <f t="shared" si="24"/>
        <v>0</v>
      </c>
      <c r="L76" s="726">
        <f t="shared" si="24"/>
        <v>900000</v>
      </c>
      <c r="M76" s="726">
        <f t="shared" si="24"/>
        <v>0</v>
      </c>
      <c r="N76" s="726">
        <f t="shared" si="24"/>
        <v>0</v>
      </c>
      <c r="O76" s="726">
        <f t="shared" si="24"/>
        <v>0</v>
      </c>
      <c r="P76" s="726">
        <f t="shared" si="24"/>
        <v>0</v>
      </c>
      <c r="Q76" s="726">
        <f t="shared" si="24"/>
        <v>0</v>
      </c>
      <c r="R76" s="726">
        <f t="shared" si="24"/>
        <v>0</v>
      </c>
      <c r="S76" s="726">
        <f t="shared" si="24"/>
        <v>0</v>
      </c>
      <c r="T76" s="726">
        <f t="shared" si="24"/>
        <v>0</v>
      </c>
      <c r="U76" s="726">
        <f t="shared" si="24"/>
        <v>0</v>
      </c>
      <c r="V76" s="726">
        <f t="shared" si="24"/>
        <v>0</v>
      </c>
      <c r="W76" s="726">
        <f t="shared" si="24"/>
        <v>0</v>
      </c>
      <c r="X76" s="726">
        <f t="shared" si="24"/>
        <v>0</v>
      </c>
      <c r="Y76" s="726">
        <f t="shared" si="24"/>
        <v>0</v>
      </c>
      <c r="Z76" s="726">
        <f t="shared" si="24"/>
        <v>0</v>
      </c>
      <c r="AA76" s="726">
        <f t="shared" si="24"/>
        <v>0</v>
      </c>
      <c r="AB76" s="726">
        <f t="shared" si="24"/>
        <v>900000</v>
      </c>
      <c r="AC76" s="726">
        <f t="shared" si="24"/>
        <v>900000</v>
      </c>
    </row>
    <row r="77" spans="1:44" s="400" customFormat="1" x14ac:dyDescent="0.25">
      <c r="A77" s="398"/>
      <c r="B77" s="399"/>
      <c r="C77" s="395"/>
      <c r="D77" s="395"/>
      <c r="E77" s="395"/>
      <c r="F77" s="395"/>
      <c r="G77" s="395"/>
      <c r="H77" s="395"/>
      <c r="I77" s="395"/>
      <c r="J77" s="395"/>
      <c r="K77" s="395"/>
      <c r="L77" s="395"/>
      <c r="M77" s="395"/>
      <c r="N77" s="395"/>
      <c r="O77" s="395"/>
      <c r="P77" s="395"/>
      <c r="Q77" s="395"/>
      <c r="R77" s="395"/>
      <c r="S77" s="395"/>
      <c r="T77" s="395"/>
      <c r="U77" s="395"/>
      <c r="V77" s="395"/>
      <c r="W77" s="395"/>
      <c r="X77" s="395"/>
      <c r="Y77" s="395"/>
      <c r="Z77" s="395"/>
      <c r="AA77" s="395"/>
      <c r="AB77" s="395"/>
      <c r="AC77" s="395"/>
    </row>
    <row r="78" spans="1:44" s="303" customFormat="1" ht="15.75" thickBot="1" x14ac:dyDescent="0.3">
      <c r="A78" s="385" t="s">
        <v>160</v>
      </c>
      <c r="B78" s="396"/>
      <c r="C78" s="385">
        <f t="shared" ref="C78:AC78" si="25">C67+C76</f>
        <v>2690500</v>
      </c>
      <c r="D78" s="385">
        <f t="shared" si="25"/>
        <v>0</v>
      </c>
      <c r="E78" s="385">
        <f t="shared" ref="E78" si="26">E67+E76</f>
        <v>-180000</v>
      </c>
      <c r="F78" s="385">
        <f t="shared" si="25"/>
        <v>100000</v>
      </c>
      <c r="G78" s="385">
        <f t="shared" si="25"/>
        <v>2610500</v>
      </c>
      <c r="H78" s="385">
        <f t="shared" si="25"/>
        <v>2182875</v>
      </c>
      <c r="I78" s="385">
        <f t="shared" si="25"/>
        <v>1042541.6666666667</v>
      </c>
      <c r="J78" s="385">
        <f t="shared" si="25"/>
        <v>0</v>
      </c>
      <c r="K78" s="385">
        <f t="shared" si="25"/>
        <v>0</v>
      </c>
      <c r="L78" s="385">
        <f t="shared" si="25"/>
        <v>2325416.666666667</v>
      </c>
      <c r="M78" s="385">
        <f t="shared" si="25"/>
        <v>0</v>
      </c>
      <c r="N78" s="385">
        <f t="shared" si="25"/>
        <v>16000</v>
      </c>
      <c r="O78" s="385">
        <f t="shared" si="25"/>
        <v>16000</v>
      </c>
      <c r="P78" s="385">
        <f t="shared" si="25"/>
        <v>16000</v>
      </c>
      <c r="Q78" s="385">
        <f t="shared" si="25"/>
        <v>23680</v>
      </c>
      <c r="R78" s="385">
        <f t="shared" si="25"/>
        <v>18181.84</v>
      </c>
      <c r="S78" s="385">
        <f t="shared" si="25"/>
        <v>34654.9</v>
      </c>
      <c r="T78" s="385">
        <f t="shared" si="25"/>
        <v>299816</v>
      </c>
      <c r="U78" s="385">
        <f t="shared" si="25"/>
        <v>50194</v>
      </c>
      <c r="V78" s="385">
        <f t="shared" si="25"/>
        <v>16000</v>
      </c>
      <c r="W78" s="385">
        <f t="shared" si="25"/>
        <v>0</v>
      </c>
      <c r="X78" s="385">
        <f t="shared" si="25"/>
        <v>0</v>
      </c>
      <c r="Y78" s="385">
        <f t="shared" si="25"/>
        <v>474526.74</v>
      </c>
      <c r="Z78" s="385">
        <f t="shared" si="25"/>
        <v>16000</v>
      </c>
      <c r="AA78" s="385">
        <f t="shared" si="25"/>
        <v>490526.74</v>
      </c>
      <c r="AB78" s="385">
        <f t="shared" si="25"/>
        <v>1834889.9266666668</v>
      </c>
      <c r="AC78" s="385">
        <f t="shared" si="25"/>
        <v>2119973.2599999998</v>
      </c>
      <c r="AD78" s="400"/>
      <c r="AE78" s="400"/>
      <c r="AF78" s="400"/>
      <c r="AG78" s="400"/>
      <c r="AH78" s="400"/>
      <c r="AI78" s="400"/>
      <c r="AJ78" s="400"/>
      <c r="AK78" s="400"/>
      <c r="AL78" s="400"/>
      <c r="AM78" s="400"/>
      <c r="AN78" s="400"/>
      <c r="AO78" s="400"/>
      <c r="AP78" s="400"/>
      <c r="AQ78" s="400"/>
      <c r="AR78" s="400"/>
    </row>
    <row r="79" spans="1:44" s="160" customFormat="1" ht="15.75" thickTop="1" x14ac:dyDescent="0.25">
      <c r="A79" s="15"/>
      <c r="B79" s="16"/>
      <c r="C79" s="28"/>
      <c r="D79" s="28"/>
      <c r="E79" s="28"/>
      <c r="F79" s="28"/>
      <c r="H79" s="28"/>
      <c r="I79" s="28"/>
      <c r="J79" s="28"/>
      <c r="K79" s="28"/>
      <c r="L79" s="28"/>
      <c r="M79" s="28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8"/>
      <c r="AB79" s="28"/>
      <c r="AC79" s="28"/>
    </row>
    <row r="80" spans="1:44" x14ac:dyDescent="0.25">
      <c r="A80" t="s">
        <v>354</v>
      </c>
      <c r="B80" s="30"/>
      <c r="C80" s="359"/>
      <c r="D80" s="359"/>
      <c r="E80" s="359"/>
      <c r="F80" s="359"/>
      <c r="G80" s="359"/>
      <c r="H80" s="359"/>
      <c r="I80" s="359"/>
      <c r="L80"/>
      <c r="Z80"/>
      <c r="AB80" s="387" t="s">
        <v>357</v>
      </c>
    </row>
    <row r="81" spans="1:29" x14ac:dyDescent="0.25">
      <c r="B81" s="32"/>
      <c r="C81" s="36"/>
      <c r="D81" s="36"/>
      <c r="E81" s="36"/>
      <c r="F81" s="36"/>
      <c r="G81" s="36"/>
      <c r="H81" s="36"/>
      <c r="I81" s="36"/>
      <c r="L81"/>
      <c r="Z81"/>
    </row>
    <row r="82" spans="1:29" x14ac:dyDescent="0.25">
      <c r="B82" s="32"/>
      <c r="C82" s="36"/>
      <c r="D82" s="36"/>
      <c r="E82" s="36"/>
      <c r="F82" s="36"/>
      <c r="G82" s="36"/>
      <c r="H82" s="36"/>
      <c r="I82" s="36"/>
      <c r="L82"/>
      <c r="Z82"/>
    </row>
    <row r="83" spans="1:29" x14ac:dyDescent="0.25">
      <c r="B83" s="32"/>
      <c r="C83" s="36"/>
      <c r="D83" s="36"/>
      <c r="E83" s="36"/>
      <c r="F83" s="36"/>
      <c r="G83" s="36"/>
      <c r="H83" s="36"/>
      <c r="I83" s="36"/>
      <c r="L83"/>
      <c r="Z83"/>
    </row>
    <row r="84" spans="1:29" x14ac:dyDescent="0.25">
      <c r="A84" s="258" t="s">
        <v>355</v>
      </c>
      <c r="B84" s="14"/>
      <c r="C84" s="31"/>
      <c r="D84" s="31"/>
      <c r="E84" s="31"/>
      <c r="F84" s="31"/>
      <c r="G84" s="31"/>
      <c r="H84" s="31"/>
      <c r="I84" s="31"/>
      <c r="L84"/>
      <c r="Z84"/>
      <c r="AB84" s="388" t="s">
        <v>358</v>
      </c>
    </row>
    <row r="85" spans="1:29" x14ac:dyDescent="0.25">
      <c r="A85" s="259" t="s">
        <v>356</v>
      </c>
      <c r="L85"/>
      <c r="Z85"/>
      <c r="AB85" s="387" t="s">
        <v>359</v>
      </c>
    </row>
    <row r="86" spans="1:29" s="160" customFormat="1" x14ac:dyDescent="0.25">
      <c r="A86" s="15"/>
      <c r="B86" s="16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8"/>
      <c r="AB86" s="28"/>
      <c r="AC86" s="28"/>
    </row>
    <row r="87" spans="1:29" s="160" customFormat="1" x14ac:dyDescent="0.25">
      <c r="A87" s="15"/>
      <c r="B87" s="16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8"/>
      <c r="AB87" s="28"/>
      <c r="AC87" s="28"/>
    </row>
    <row r="92" spans="1:29" x14ac:dyDescent="0.25">
      <c r="B92" s="16"/>
      <c r="L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</row>
  </sheetData>
  <mergeCells count="3">
    <mergeCell ref="A2:AC2"/>
    <mergeCell ref="A3:AC3"/>
    <mergeCell ref="A4:AC4"/>
  </mergeCells>
  <printOptions horizontalCentered="1" headings="1"/>
  <pageMargins left="0.95" right="0.2" top="0.75" bottom="0.25" header="0.3" footer="0.3"/>
  <pageSetup paperSize="5" scale="73" orientation="landscape" r:id="rId1"/>
  <rowBreaks count="1" manualBreakCount="1">
    <brk id="41" max="2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view="pageBreakPreview" topLeftCell="A4" zoomScale="96" zoomScaleNormal="100" zoomScaleSheetLayoutView="96" workbookViewId="0">
      <pane xSplit="1" topLeftCell="V1" activePane="topRight" state="frozen"/>
      <selection pane="topRight" activeCell="T11" sqref="T11"/>
    </sheetView>
  </sheetViews>
  <sheetFormatPr defaultRowHeight="15" outlineLevelCol="1" x14ac:dyDescent="0.25"/>
  <cols>
    <col min="1" max="1" width="48.28515625" style="21" customWidth="1"/>
    <col min="2" max="2" width="12.7109375" style="21" customWidth="1"/>
    <col min="3" max="3" width="14.28515625" style="21" customWidth="1"/>
    <col min="4" max="4" width="14.28515625" style="987" customWidth="1"/>
    <col min="5" max="5" width="12.7109375" style="987" customWidth="1"/>
    <col min="6" max="8" width="14.28515625" style="21" customWidth="1"/>
    <col min="9" max="9" width="12.7109375" style="21" customWidth="1"/>
    <col min="10" max="10" width="12.7109375" style="21" hidden="1" customWidth="1" outlineLevel="1"/>
    <col min="11" max="11" width="17" style="303" hidden="1" customWidth="1" outlineLevel="1"/>
    <col min="12" max="18" width="12.7109375" style="303" hidden="1" customWidth="1" outlineLevel="1"/>
    <col min="19" max="21" width="12.7109375" style="21" hidden="1" customWidth="1" outlineLevel="1"/>
    <col min="22" max="22" width="12.7109375" style="21" customWidth="1" collapsed="1"/>
    <col min="23" max="25" width="12.7109375" style="21" customWidth="1"/>
    <col min="26" max="26" width="14.42578125" style="21" customWidth="1"/>
    <col min="27" max="16384" width="9.140625" style="21"/>
  </cols>
  <sheetData>
    <row r="1" spans="1:26" x14ac:dyDescent="0.25">
      <c r="A1" s="1432" t="s">
        <v>352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1432"/>
      <c r="M1" s="1432"/>
      <c r="N1" s="1432"/>
      <c r="O1" s="1432"/>
      <c r="P1" s="1432"/>
      <c r="Q1" s="1432"/>
      <c r="R1" s="1432"/>
      <c r="S1" s="1432"/>
      <c r="T1" s="1432"/>
      <c r="U1" s="1432"/>
      <c r="V1" s="1432"/>
      <c r="W1" s="1432"/>
      <c r="X1" s="1432"/>
      <c r="Y1" s="1432"/>
      <c r="Z1" s="1432"/>
    </row>
    <row r="2" spans="1:26" x14ac:dyDescent="0.25">
      <c r="A2" s="1432" t="s">
        <v>353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1432"/>
      <c r="Y2" s="1432"/>
      <c r="Z2" s="1432"/>
    </row>
    <row r="3" spans="1:26" x14ac:dyDescent="0.25">
      <c r="A3" s="1434" t="str">
        <f>'PESO-1018'!A4:Z4</f>
        <v>For the Period October 1-31, 2021</v>
      </c>
      <c r="B3" s="1434"/>
      <c r="C3" s="1434"/>
      <c r="D3" s="1434"/>
      <c r="E3" s="1434"/>
      <c r="F3" s="1434"/>
      <c r="G3" s="1434"/>
      <c r="H3" s="1434"/>
      <c r="I3" s="1434"/>
      <c r="J3" s="1434"/>
      <c r="K3" s="1434"/>
      <c r="L3" s="1434"/>
      <c r="M3" s="1434"/>
      <c r="N3" s="1434"/>
      <c r="O3" s="1434"/>
      <c r="P3" s="1434"/>
      <c r="Q3" s="1434"/>
      <c r="R3" s="1434"/>
      <c r="S3" s="1434"/>
      <c r="T3" s="1434"/>
      <c r="U3" s="1434"/>
      <c r="V3" s="1434"/>
      <c r="W3" s="1434"/>
      <c r="X3" s="1434"/>
      <c r="Y3" s="1434"/>
      <c r="Z3" s="1434"/>
    </row>
    <row r="4" spans="1:26" ht="26.25" x14ac:dyDescent="0.25">
      <c r="A4" s="71" t="s">
        <v>347</v>
      </c>
      <c r="B4" s="71" t="s">
        <v>2</v>
      </c>
      <c r="C4" s="71" t="s">
        <v>133</v>
      </c>
      <c r="D4" s="1138" t="s">
        <v>1205</v>
      </c>
      <c r="E4" s="71" t="s">
        <v>1227</v>
      </c>
      <c r="F4" s="71" t="s">
        <v>1</v>
      </c>
      <c r="G4" s="71" t="s">
        <v>316</v>
      </c>
      <c r="H4" s="71" t="s">
        <v>314</v>
      </c>
      <c r="I4" s="74" t="s">
        <v>346</v>
      </c>
      <c r="J4" s="72"/>
      <c r="K4" s="72"/>
      <c r="L4" s="72"/>
      <c r="M4" s="72"/>
      <c r="N4" s="83"/>
      <c r="O4" s="83"/>
      <c r="P4" s="83"/>
      <c r="Q4" s="83"/>
      <c r="R4" s="83"/>
      <c r="S4" s="83"/>
      <c r="T4" s="83"/>
      <c r="U4" s="83"/>
      <c r="V4" s="74" t="s">
        <v>316</v>
      </c>
      <c r="W4" s="74" t="s">
        <v>348</v>
      </c>
      <c r="X4" s="74" t="s">
        <v>1</v>
      </c>
      <c r="Y4" s="74" t="s">
        <v>131</v>
      </c>
      <c r="Z4" s="74" t="s">
        <v>131</v>
      </c>
    </row>
    <row r="5" spans="1:26" x14ac:dyDescent="0.25">
      <c r="A5" s="69"/>
      <c r="B5" s="69" t="s">
        <v>3</v>
      </c>
      <c r="C5" s="69" t="s">
        <v>134</v>
      </c>
      <c r="D5" s="721" t="s">
        <v>1354</v>
      </c>
      <c r="E5" s="1104">
        <v>44458</v>
      </c>
      <c r="F5" s="69" t="s">
        <v>314</v>
      </c>
      <c r="G5" s="69" t="s">
        <v>314</v>
      </c>
      <c r="H5" s="69" t="s">
        <v>315</v>
      </c>
      <c r="I5" s="41" t="s">
        <v>315</v>
      </c>
      <c r="J5" s="70" t="s">
        <v>0</v>
      </c>
      <c r="K5" s="722" t="s">
        <v>120</v>
      </c>
      <c r="L5" s="722" t="s">
        <v>121</v>
      </c>
      <c r="M5" s="722" t="s">
        <v>122</v>
      </c>
      <c r="N5" s="722" t="s">
        <v>123</v>
      </c>
      <c r="O5" s="722" t="s">
        <v>124</v>
      </c>
      <c r="P5" s="722" t="s">
        <v>125</v>
      </c>
      <c r="Q5" s="722" t="s">
        <v>126</v>
      </c>
      <c r="R5" s="722" t="s">
        <v>127</v>
      </c>
      <c r="S5" s="70" t="s">
        <v>128</v>
      </c>
      <c r="T5" s="70" t="s">
        <v>129</v>
      </c>
      <c r="U5" s="70" t="s">
        <v>130</v>
      </c>
      <c r="V5" s="70" t="s">
        <v>317</v>
      </c>
      <c r="W5" s="70" t="s">
        <v>315</v>
      </c>
      <c r="X5" s="70" t="s">
        <v>317</v>
      </c>
      <c r="Y5" s="70" t="s">
        <v>314</v>
      </c>
      <c r="Z5" s="70" t="s">
        <v>132</v>
      </c>
    </row>
    <row r="6" spans="1:26" x14ac:dyDescent="0.25">
      <c r="A6" s="294" t="s">
        <v>365</v>
      </c>
      <c r="B6" s="188"/>
      <c r="C6" s="188"/>
      <c r="D6" s="937"/>
      <c r="E6" s="937"/>
      <c r="F6" s="188"/>
      <c r="G6" s="188"/>
      <c r="H6" s="188"/>
      <c r="I6" s="188"/>
      <c r="J6" s="188"/>
      <c r="K6" s="997"/>
      <c r="L6" s="997"/>
      <c r="M6" s="997"/>
      <c r="N6" s="997"/>
      <c r="O6" s="997"/>
      <c r="P6" s="997"/>
      <c r="Q6" s="997"/>
      <c r="R6" s="997"/>
      <c r="S6" s="188"/>
      <c r="T6" s="188"/>
      <c r="U6" s="188"/>
      <c r="V6" s="188"/>
      <c r="W6" s="188"/>
      <c r="X6" s="188"/>
      <c r="Y6" s="188"/>
      <c r="Z6" s="188"/>
    </row>
    <row r="7" spans="1:26" x14ac:dyDescent="0.25">
      <c r="A7" s="110" t="s">
        <v>161</v>
      </c>
      <c r="B7" s="87"/>
      <c r="C7" s="188"/>
      <c r="D7" s="937"/>
      <c r="E7" s="937"/>
      <c r="F7" s="188"/>
      <c r="G7" s="188"/>
      <c r="H7" s="188"/>
      <c r="I7" s="188"/>
      <c r="J7" s="188"/>
      <c r="K7" s="997"/>
      <c r="L7" s="997"/>
      <c r="M7" s="997"/>
      <c r="N7" s="997"/>
      <c r="O7" s="997"/>
      <c r="P7" s="997"/>
      <c r="Q7" s="997"/>
      <c r="R7" s="997"/>
      <c r="S7" s="188"/>
      <c r="T7" s="188"/>
      <c r="U7" s="188"/>
      <c r="V7" s="188"/>
      <c r="W7" s="188"/>
      <c r="X7" s="109"/>
      <c r="Y7" s="40"/>
      <c r="Z7" s="188"/>
    </row>
    <row r="8" spans="1:26" x14ac:dyDescent="0.25">
      <c r="A8" s="117" t="s">
        <v>228</v>
      </c>
      <c r="B8" s="87"/>
      <c r="C8" s="88"/>
      <c r="D8" s="811"/>
      <c r="E8" s="811"/>
      <c r="F8" s="88"/>
      <c r="G8" s="88"/>
      <c r="H8" s="88"/>
      <c r="I8" s="40"/>
      <c r="J8" s="188"/>
      <c r="K8" s="997"/>
      <c r="L8" s="997"/>
      <c r="M8" s="997"/>
      <c r="N8" s="997"/>
      <c r="O8" s="997"/>
      <c r="P8" s="997"/>
      <c r="Q8" s="997"/>
      <c r="R8" s="997"/>
      <c r="S8" s="188"/>
      <c r="T8" s="188"/>
      <c r="U8" s="188"/>
      <c r="V8" s="188"/>
      <c r="W8" s="188"/>
      <c r="X8" s="109"/>
      <c r="Y8" s="40"/>
      <c r="Z8" s="188"/>
    </row>
    <row r="9" spans="1:26" x14ac:dyDescent="0.25">
      <c r="A9" s="162" t="s">
        <v>139</v>
      </c>
      <c r="B9" s="50" t="s">
        <v>43</v>
      </c>
      <c r="C9" s="163">
        <v>80000</v>
      </c>
      <c r="D9" s="163"/>
      <c r="E9" s="163"/>
      <c r="F9" s="163">
        <f>SUM(C9:E9)</f>
        <v>80000</v>
      </c>
      <c r="G9" s="163">
        <f>F9/12*9</f>
        <v>60000</v>
      </c>
      <c r="H9" s="163">
        <f>F9/12</f>
        <v>6666.666666666667</v>
      </c>
      <c r="I9" s="40">
        <f t="shared" ref="I9:I16" si="0">G9+H9</f>
        <v>66666.666666666672</v>
      </c>
      <c r="J9" s="266"/>
      <c r="K9" s="997"/>
      <c r="L9" s="997">
        <v>1240</v>
      </c>
      <c r="M9" s="997">
        <v>880</v>
      </c>
      <c r="N9" s="997">
        <v>880</v>
      </c>
      <c r="O9" s="997"/>
      <c r="P9" s="997">
        <v>6160</v>
      </c>
      <c r="Q9" s="997">
        <v>4772</v>
      </c>
      <c r="R9" s="997">
        <v>4280</v>
      </c>
      <c r="S9" s="188"/>
      <c r="T9" s="188"/>
      <c r="U9" s="188"/>
      <c r="V9" s="996">
        <f>J9+K9+L9+M9+N9+O9+P9+Q9+R9</f>
        <v>18212</v>
      </c>
      <c r="W9" s="322">
        <f>S9</f>
        <v>0</v>
      </c>
      <c r="X9" s="40">
        <f>V9+W9</f>
        <v>18212</v>
      </c>
      <c r="Y9" s="40">
        <f t="shared" ref="Y9" si="1">I9-X9</f>
        <v>48454.666666666672</v>
      </c>
      <c r="Z9" s="322">
        <f t="shared" ref="Z9" si="2">F9-X9</f>
        <v>61788</v>
      </c>
    </row>
    <row r="10" spans="1:26" x14ac:dyDescent="0.25">
      <c r="A10" s="162" t="s">
        <v>44</v>
      </c>
      <c r="B10" s="50" t="s">
        <v>140</v>
      </c>
      <c r="C10" s="165">
        <v>10000</v>
      </c>
      <c r="D10" s="165">
        <v>10120</v>
      </c>
      <c r="E10" s="165"/>
      <c r="F10" s="163">
        <f t="shared" ref="F10:F17" si="3">SUM(C10:E10)</f>
        <v>20120</v>
      </c>
      <c r="G10" s="163">
        <f t="shared" ref="G10:G17" si="4">F10/12*9</f>
        <v>15090</v>
      </c>
      <c r="H10" s="163">
        <f t="shared" ref="H10:H16" si="5">F10/12</f>
        <v>1676.6666666666667</v>
      </c>
      <c r="I10" s="40">
        <f t="shared" si="0"/>
        <v>16766.666666666668</v>
      </c>
      <c r="J10" s="266"/>
      <c r="K10" s="997"/>
      <c r="L10" s="997"/>
      <c r="M10" s="997"/>
      <c r="N10" s="997"/>
      <c r="O10" s="997"/>
      <c r="P10" s="997"/>
      <c r="Q10" s="997">
        <v>10000</v>
      </c>
      <c r="R10" s="997"/>
      <c r="S10" s="1277">
        <v>500</v>
      </c>
      <c r="T10" s="188"/>
      <c r="U10" s="188"/>
      <c r="V10" s="996">
        <f t="shared" ref="V10:V17" si="6">J10+K10+L10+M10+N10+O10+P10+Q10+R10</f>
        <v>10000</v>
      </c>
      <c r="W10" s="996">
        <f t="shared" ref="W10:W17" si="7">S10</f>
        <v>500</v>
      </c>
      <c r="X10" s="989">
        <f t="shared" ref="X10:X17" si="8">V10+W10</f>
        <v>10500</v>
      </c>
      <c r="Y10" s="989">
        <f t="shared" ref="Y10:Y17" si="9">I10-X10</f>
        <v>6266.6666666666679</v>
      </c>
      <c r="Z10" s="996">
        <f t="shared" ref="Z10:Z17" si="10">F10-X10</f>
        <v>9620</v>
      </c>
    </row>
    <row r="11" spans="1:26" x14ac:dyDescent="0.25">
      <c r="A11" s="162" t="s">
        <v>50</v>
      </c>
      <c r="B11" s="50" t="s">
        <v>51</v>
      </c>
      <c r="C11" s="163">
        <v>41800</v>
      </c>
      <c r="D11" s="163"/>
      <c r="E11" s="163"/>
      <c r="F11" s="163">
        <f t="shared" si="3"/>
        <v>41800</v>
      </c>
      <c r="G11" s="163">
        <f t="shared" si="4"/>
        <v>31350</v>
      </c>
      <c r="H11" s="163">
        <f t="shared" si="5"/>
        <v>3483.3333333333335</v>
      </c>
      <c r="I11" s="40">
        <f t="shared" si="0"/>
        <v>34833.333333333336</v>
      </c>
      <c r="J11" s="266"/>
      <c r="K11" s="997"/>
      <c r="L11" s="997">
        <v>7943</v>
      </c>
      <c r="M11" s="997"/>
      <c r="N11" s="997"/>
      <c r="O11" s="997">
        <v>8611</v>
      </c>
      <c r="P11" s="997"/>
      <c r="Q11" s="997">
        <v>3979.5</v>
      </c>
      <c r="R11" s="997">
        <v>1530</v>
      </c>
      <c r="S11" s="188"/>
      <c r="T11" s="188"/>
      <c r="U11" s="188"/>
      <c r="V11" s="996">
        <f t="shared" si="6"/>
        <v>22063.5</v>
      </c>
      <c r="W11" s="996">
        <f t="shared" si="7"/>
        <v>0</v>
      </c>
      <c r="X11" s="989">
        <f t="shared" si="8"/>
        <v>22063.5</v>
      </c>
      <c r="Y11" s="989">
        <f t="shared" si="9"/>
        <v>12769.833333333336</v>
      </c>
      <c r="Z11" s="996">
        <f t="shared" si="10"/>
        <v>19736.5</v>
      </c>
    </row>
    <row r="12" spans="1:26" x14ac:dyDescent="0.25">
      <c r="A12" s="162" t="s">
        <v>178</v>
      </c>
      <c r="B12" s="50" t="s">
        <v>60</v>
      </c>
      <c r="C12" s="163">
        <v>74400</v>
      </c>
      <c r="D12" s="163"/>
      <c r="E12" s="163"/>
      <c r="F12" s="163">
        <f t="shared" si="3"/>
        <v>74400</v>
      </c>
      <c r="G12" s="163">
        <f t="shared" si="4"/>
        <v>55800</v>
      </c>
      <c r="H12" s="163">
        <f t="shared" si="5"/>
        <v>6200</v>
      </c>
      <c r="I12" s="40">
        <f t="shared" si="0"/>
        <v>62000</v>
      </c>
      <c r="J12" s="266">
        <v>2000</v>
      </c>
      <c r="K12" s="997">
        <v>1000</v>
      </c>
      <c r="L12" s="997">
        <v>3000</v>
      </c>
      <c r="M12" s="997">
        <v>4000</v>
      </c>
      <c r="N12" s="997">
        <v>2000</v>
      </c>
      <c r="O12" s="997">
        <v>3000</v>
      </c>
      <c r="P12" s="997">
        <v>3000</v>
      </c>
      <c r="Q12" s="997">
        <v>3000</v>
      </c>
      <c r="R12" s="997">
        <v>3000</v>
      </c>
      <c r="S12" s="188">
        <v>3000</v>
      </c>
      <c r="T12" s="188"/>
      <c r="U12" s="188"/>
      <c r="V12" s="996">
        <f t="shared" si="6"/>
        <v>24000</v>
      </c>
      <c r="W12" s="996">
        <f t="shared" si="7"/>
        <v>3000</v>
      </c>
      <c r="X12" s="989">
        <f t="shared" si="8"/>
        <v>27000</v>
      </c>
      <c r="Y12" s="989">
        <f t="shared" si="9"/>
        <v>35000</v>
      </c>
      <c r="Z12" s="996">
        <f t="shared" si="10"/>
        <v>47400</v>
      </c>
    </row>
    <row r="13" spans="1:26" x14ac:dyDescent="0.25">
      <c r="A13" s="162" t="s">
        <v>151</v>
      </c>
      <c r="B13" s="50" t="s">
        <v>62</v>
      </c>
      <c r="C13" s="163">
        <v>16000</v>
      </c>
      <c r="D13" s="163"/>
      <c r="E13" s="163"/>
      <c r="F13" s="163">
        <f t="shared" si="3"/>
        <v>16000</v>
      </c>
      <c r="G13" s="163">
        <f t="shared" si="4"/>
        <v>12000</v>
      </c>
      <c r="H13" s="163">
        <f t="shared" si="5"/>
        <v>1333.3333333333333</v>
      </c>
      <c r="I13" s="40">
        <f t="shared" si="0"/>
        <v>13333.333333333334</v>
      </c>
      <c r="J13" s="266"/>
      <c r="K13" s="997"/>
      <c r="L13" s="997">
        <v>1846.55</v>
      </c>
      <c r="M13" s="997">
        <v>1991.24</v>
      </c>
      <c r="N13" s="997">
        <v>966</v>
      </c>
      <c r="O13" s="997"/>
      <c r="P13" s="997">
        <v>3397.99</v>
      </c>
      <c r="Q13" s="997">
        <v>1699</v>
      </c>
      <c r="R13" s="997">
        <v>1699</v>
      </c>
      <c r="S13" s="188">
        <v>1699</v>
      </c>
      <c r="T13" s="188"/>
      <c r="U13" s="188"/>
      <c r="V13" s="996">
        <f t="shared" si="6"/>
        <v>11599.779999999999</v>
      </c>
      <c r="W13" s="996">
        <f t="shared" si="7"/>
        <v>1699</v>
      </c>
      <c r="X13" s="989">
        <f t="shared" si="8"/>
        <v>13298.779999999999</v>
      </c>
      <c r="Y13" s="989">
        <f t="shared" si="9"/>
        <v>34.553333333335104</v>
      </c>
      <c r="Z13" s="996">
        <f t="shared" si="10"/>
        <v>2701.2200000000012</v>
      </c>
    </row>
    <row r="14" spans="1:26" x14ac:dyDescent="0.25">
      <c r="A14" s="162" t="s">
        <v>69</v>
      </c>
      <c r="B14" s="50" t="s">
        <v>70</v>
      </c>
      <c r="C14" s="117">
        <v>837000</v>
      </c>
      <c r="D14" s="117"/>
      <c r="E14" s="117">
        <v>93000</v>
      </c>
      <c r="F14" s="163">
        <f t="shared" si="3"/>
        <v>930000</v>
      </c>
      <c r="G14" s="163">
        <f t="shared" si="4"/>
        <v>697500</v>
      </c>
      <c r="H14" s="163">
        <f t="shared" si="5"/>
        <v>77500</v>
      </c>
      <c r="I14" s="40">
        <f t="shared" si="0"/>
        <v>775000</v>
      </c>
      <c r="J14" s="266">
        <v>48340</v>
      </c>
      <c r="K14" s="997">
        <v>62600</v>
      </c>
      <c r="L14" s="997">
        <v>62600</v>
      </c>
      <c r="M14" s="997">
        <v>62600</v>
      </c>
      <c r="N14" s="997">
        <v>62600</v>
      </c>
      <c r="O14" s="997">
        <v>62600</v>
      </c>
      <c r="P14" s="997">
        <v>54700</v>
      </c>
      <c r="Q14" s="997">
        <v>68050</v>
      </c>
      <c r="R14" s="997">
        <v>70100</v>
      </c>
      <c r="S14" s="188">
        <v>70100</v>
      </c>
      <c r="T14" s="188"/>
      <c r="U14" s="188"/>
      <c r="V14" s="996">
        <f>J14+K14+L14+M14+N14+O14+P14+Q14+R14</f>
        <v>554190</v>
      </c>
      <c r="W14" s="996">
        <f t="shared" si="7"/>
        <v>70100</v>
      </c>
      <c r="X14" s="989">
        <f t="shared" si="8"/>
        <v>624290</v>
      </c>
      <c r="Y14" s="989">
        <f t="shared" si="9"/>
        <v>150710</v>
      </c>
      <c r="Z14" s="996">
        <f t="shared" si="10"/>
        <v>305710</v>
      </c>
    </row>
    <row r="15" spans="1:26" x14ac:dyDescent="0.25">
      <c r="A15" s="49" t="s">
        <v>229</v>
      </c>
      <c r="B15" s="50" t="s">
        <v>76</v>
      </c>
      <c r="C15" s="117">
        <v>15000</v>
      </c>
      <c r="D15" s="117"/>
      <c r="E15" s="117"/>
      <c r="F15" s="163">
        <f t="shared" si="3"/>
        <v>15000</v>
      </c>
      <c r="G15" s="163">
        <f t="shared" si="4"/>
        <v>11250</v>
      </c>
      <c r="H15" s="163">
        <f t="shared" si="5"/>
        <v>1250</v>
      </c>
      <c r="I15" s="40">
        <f t="shared" si="0"/>
        <v>12500</v>
      </c>
      <c r="J15" s="266"/>
      <c r="K15" s="997"/>
      <c r="L15" s="997"/>
      <c r="M15" s="997"/>
      <c r="N15" s="997"/>
      <c r="O15" s="997"/>
      <c r="P15" s="997"/>
      <c r="Q15" s="997"/>
      <c r="R15" s="997"/>
      <c r="S15" s="188"/>
      <c r="T15" s="188"/>
      <c r="U15" s="188"/>
      <c r="V15" s="996">
        <f t="shared" si="6"/>
        <v>0</v>
      </c>
      <c r="W15" s="996">
        <f t="shared" si="7"/>
        <v>0</v>
      </c>
      <c r="X15" s="989">
        <f t="shared" si="8"/>
        <v>0</v>
      </c>
      <c r="Y15" s="989">
        <f t="shared" si="9"/>
        <v>12500</v>
      </c>
      <c r="Z15" s="996">
        <f t="shared" si="10"/>
        <v>15000</v>
      </c>
    </row>
    <row r="16" spans="1:26" x14ac:dyDescent="0.25">
      <c r="A16" s="162" t="s">
        <v>155</v>
      </c>
      <c r="B16" s="50" t="s">
        <v>106</v>
      </c>
      <c r="C16" s="163">
        <v>20000</v>
      </c>
      <c r="D16" s="163"/>
      <c r="E16" s="163"/>
      <c r="F16" s="163">
        <f t="shared" si="3"/>
        <v>20000</v>
      </c>
      <c r="G16" s="163">
        <f t="shared" si="4"/>
        <v>15000</v>
      </c>
      <c r="H16" s="163">
        <f t="shared" si="5"/>
        <v>1666.6666666666667</v>
      </c>
      <c r="I16" s="40">
        <f t="shared" si="0"/>
        <v>16666.666666666668</v>
      </c>
      <c r="J16" s="266"/>
      <c r="K16" s="997"/>
      <c r="L16" s="997"/>
      <c r="M16" s="997"/>
      <c r="N16" s="997"/>
      <c r="O16" s="997"/>
      <c r="P16" s="997">
        <v>1920</v>
      </c>
      <c r="Q16" s="997"/>
      <c r="R16" s="997"/>
      <c r="S16" s="188"/>
      <c r="T16" s="188"/>
      <c r="U16" s="188"/>
      <c r="V16" s="996">
        <f t="shared" si="6"/>
        <v>1920</v>
      </c>
      <c r="W16" s="996">
        <f t="shared" si="7"/>
        <v>0</v>
      </c>
      <c r="X16" s="989">
        <f t="shared" si="8"/>
        <v>1920</v>
      </c>
      <c r="Y16" s="989">
        <f t="shared" si="9"/>
        <v>14746.666666666668</v>
      </c>
      <c r="Z16" s="996">
        <f t="shared" si="10"/>
        <v>18080</v>
      </c>
    </row>
    <row r="17" spans="1:26" x14ac:dyDescent="0.25">
      <c r="A17" s="166"/>
      <c r="B17" s="87"/>
      <c r="C17" s="93"/>
      <c r="D17" s="93"/>
      <c r="E17" s="93"/>
      <c r="F17" s="163">
        <f t="shared" si="3"/>
        <v>0</v>
      </c>
      <c r="G17" s="163">
        <f t="shared" si="4"/>
        <v>0</v>
      </c>
      <c r="H17" s="93"/>
      <c r="I17" s="93"/>
      <c r="J17" s="93"/>
      <c r="K17" s="726"/>
      <c r="L17" s="726"/>
      <c r="M17" s="726"/>
      <c r="N17" s="726"/>
      <c r="O17" s="726"/>
      <c r="P17" s="726"/>
      <c r="Q17" s="726"/>
      <c r="R17" s="726"/>
      <c r="S17" s="93"/>
      <c r="T17" s="93"/>
      <c r="U17" s="93"/>
      <c r="V17" s="996">
        <f t="shared" si="6"/>
        <v>0</v>
      </c>
      <c r="W17" s="996">
        <f t="shared" si="7"/>
        <v>0</v>
      </c>
      <c r="X17" s="989">
        <f t="shared" si="8"/>
        <v>0</v>
      </c>
      <c r="Y17" s="989">
        <f t="shared" si="9"/>
        <v>0</v>
      </c>
      <c r="Z17" s="996">
        <f t="shared" si="10"/>
        <v>0</v>
      </c>
    </row>
    <row r="18" spans="1:26" x14ac:dyDescent="0.25">
      <c r="A18" s="53" t="s">
        <v>108</v>
      </c>
      <c r="B18" s="94"/>
      <c r="C18" s="109">
        <f t="shared" ref="C18:Z18" si="11">SUM(C9:C16)</f>
        <v>1094200</v>
      </c>
      <c r="D18" s="990">
        <f t="shared" si="11"/>
        <v>10120</v>
      </c>
      <c r="E18" s="990">
        <f t="shared" si="11"/>
        <v>93000</v>
      </c>
      <c r="F18" s="990">
        <f t="shared" si="11"/>
        <v>1197320</v>
      </c>
      <c r="G18" s="109">
        <f t="shared" si="11"/>
        <v>897990</v>
      </c>
      <c r="H18" s="109">
        <f t="shared" si="11"/>
        <v>99776.666666666672</v>
      </c>
      <c r="I18" s="109">
        <f t="shared" si="11"/>
        <v>997766.66666666663</v>
      </c>
      <c r="J18" s="109">
        <f t="shared" si="11"/>
        <v>50340</v>
      </c>
      <c r="K18" s="990">
        <f t="shared" si="11"/>
        <v>63600</v>
      </c>
      <c r="L18" s="990">
        <f t="shared" si="11"/>
        <v>76629.55</v>
      </c>
      <c r="M18" s="990">
        <f t="shared" si="11"/>
        <v>69471.240000000005</v>
      </c>
      <c r="N18" s="990">
        <f t="shared" si="11"/>
        <v>66446</v>
      </c>
      <c r="O18" s="990">
        <f t="shared" si="11"/>
        <v>74211</v>
      </c>
      <c r="P18" s="990">
        <f t="shared" si="11"/>
        <v>69177.990000000005</v>
      </c>
      <c r="Q18" s="990">
        <f t="shared" si="11"/>
        <v>91500.5</v>
      </c>
      <c r="R18" s="990">
        <f t="shared" si="11"/>
        <v>80609</v>
      </c>
      <c r="S18" s="109">
        <f t="shared" si="11"/>
        <v>75299</v>
      </c>
      <c r="T18" s="109">
        <f t="shared" si="11"/>
        <v>0</v>
      </c>
      <c r="U18" s="109">
        <f t="shared" si="11"/>
        <v>0</v>
      </c>
      <c r="V18" s="109">
        <f t="shared" si="11"/>
        <v>641985.28000000003</v>
      </c>
      <c r="W18" s="109">
        <f t="shared" si="11"/>
        <v>75299</v>
      </c>
      <c r="X18" s="109">
        <f t="shared" si="11"/>
        <v>717284.28</v>
      </c>
      <c r="Y18" s="109">
        <f t="shared" si="11"/>
        <v>280482.38666666672</v>
      </c>
      <c r="Z18" s="109">
        <f t="shared" si="11"/>
        <v>480035.72</v>
      </c>
    </row>
    <row r="19" spans="1:26" x14ac:dyDescent="0.25">
      <c r="A19" s="110" t="s">
        <v>109</v>
      </c>
      <c r="B19" s="188"/>
      <c r="C19" s="188"/>
      <c r="D19" s="937"/>
      <c r="E19" s="937"/>
      <c r="F19" s="188"/>
      <c r="G19" s="188"/>
      <c r="H19" s="188"/>
      <c r="I19" s="188"/>
      <c r="J19" s="188"/>
      <c r="K19" s="997"/>
      <c r="L19" s="997"/>
      <c r="M19" s="997"/>
      <c r="N19" s="997"/>
      <c r="O19" s="997"/>
      <c r="P19" s="997"/>
      <c r="Q19" s="997"/>
      <c r="R19" s="997"/>
      <c r="S19" s="188"/>
      <c r="T19" s="188"/>
      <c r="U19" s="188"/>
      <c r="V19" s="188"/>
      <c r="W19" s="188"/>
      <c r="X19" s="188"/>
      <c r="Y19" s="188"/>
      <c r="Z19" s="188"/>
    </row>
    <row r="20" spans="1:26" x14ac:dyDescent="0.25">
      <c r="A20" s="110" t="s">
        <v>320</v>
      </c>
      <c r="B20" s="188"/>
      <c r="C20" s="188"/>
      <c r="D20" s="937"/>
      <c r="E20" s="937"/>
      <c r="F20" s="188"/>
      <c r="G20" s="188"/>
      <c r="H20" s="188"/>
      <c r="I20" s="188"/>
      <c r="J20" s="188"/>
      <c r="K20" s="997"/>
      <c r="L20" s="997"/>
      <c r="M20" s="997"/>
      <c r="N20" s="997"/>
      <c r="O20" s="997"/>
      <c r="P20" s="997"/>
      <c r="Q20" s="997"/>
      <c r="R20" s="997"/>
      <c r="S20" s="188"/>
      <c r="T20" s="188"/>
      <c r="U20" s="188"/>
      <c r="V20" s="188"/>
      <c r="W20" s="188"/>
      <c r="X20" s="188"/>
      <c r="Y20" s="188"/>
      <c r="Z20" s="188"/>
    </row>
    <row r="21" spans="1:26" x14ac:dyDescent="0.25">
      <c r="A21" s="837" t="s">
        <v>241</v>
      </c>
      <c r="B21" s="838" t="s">
        <v>116</v>
      </c>
      <c r="C21" s="188"/>
      <c r="D21" s="937"/>
      <c r="E21" s="937"/>
      <c r="F21" s="188"/>
      <c r="G21" s="188"/>
      <c r="H21" s="188"/>
      <c r="I21" s="188"/>
      <c r="J21" s="188"/>
      <c r="K21" s="997"/>
      <c r="L21" s="997"/>
      <c r="M21" s="997"/>
      <c r="N21" s="997"/>
      <c r="O21" s="997"/>
      <c r="P21" s="997"/>
      <c r="Q21" s="997"/>
      <c r="R21" s="997"/>
      <c r="S21" s="188"/>
      <c r="T21" s="188"/>
      <c r="U21" s="188"/>
      <c r="V21" s="996">
        <f t="shared" ref="V21:V23" si="12">J21+K21+L21+M21+N21+O21+P21+Q21+R21</f>
        <v>0</v>
      </c>
      <c r="W21" s="996">
        <f t="shared" ref="W21:W23" si="13">S21</f>
        <v>0</v>
      </c>
      <c r="X21" s="188"/>
      <c r="Y21" s="989">
        <f t="shared" ref="Y21:Y23" si="14">I21-X21</f>
        <v>0</v>
      </c>
      <c r="Z21" s="996">
        <f t="shared" ref="Z21:Z23" si="15">F21-X21</f>
        <v>0</v>
      </c>
    </row>
    <row r="22" spans="1:26" x14ac:dyDescent="0.25">
      <c r="A22" s="839" t="s">
        <v>1099</v>
      </c>
      <c r="B22" s="840"/>
      <c r="C22" s="265">
        <v>5000</v>
      </c>
      <c r="D22" s="997"/>
      <c r="E22" s="997"/>
      <c r="F22" s="163">
        <f t="shared" ref="F22:F23" si="16">C22+E22</f>
        <v>5000</v>
      </c>
      <c r="G22" s="265">
        <f>F22</f>
        <v>5000</v>
      </c>
      <c r="H22" s="265">
        <f>F22</f>
        <v>5000</v>
      </c>
      <c r="I22" s="40">
        <f>F22</f>
        <v>5000</v>
      </c>
      <c r="J22" s="188"/>
      <c r="K22" s="997"/>
      <c r="L22" s="997"/>
      <c r="M22" s="997"/>
      <c r="N22" s="997"/>
      <c r="O22" s="997"/>
      <c r="P22" s="997"/>
      <c r="Q22" s="997"/>
      <c r="R22" s="997"/>
      <c r="S22" s="188"/>
      <c r="T22" s="188"/>
      <c r="U22" s="188"/>
      <c r="V22" s="996">
        <f t="shared" si="12"/>
        <v>0</v>
      </c>
      <c r="W22" s="996">
        <f t="shared" si="13"/>
        <v>0</v>
      </c>
      <c r="X22" s="716">
        <f t="shared" ref="X22:X23" si="17">V22+W22</f>
        <v>0</v>
      </c>
      <c r="Y22" s="989">
        <f t="shared" si="14"/>
        <v>5000</v>
      </c>
      <c r="Z22" s="996">
        <f t="shared" si="15"/>
        <v>5000</v>
      </c>
    </row>
    <row r="23" spans="1:26" x14ac:dyDescent="0.25">
      <c r="A23" s="839" t="s">
        <v>1100</v>
      </c>
      <c r="B23" s="840"/>
      <c r="C23" s="265">
        <v>10000</v>
      </c>
      <c r="D23" s="997"/>
      <c r="E23" s="997"/>
      <c r="F23" s="163">
        <f t="shared" si="16"/>
        <v>10000</v>
      </c>
      <c r="G23" s="997">
        <f>F23</f>
        <v>10000</v>
      </c>
      <c r="H23" s="695">
        <f>F23</f>
        <v>10000</v>
      </c>
      <c r="I23" s="716">
        <f>F23</f>
        <v>10000</v>
      </c>
      <c r="J23" s="188"/>
      <c r="K23" s="997"/>
      <c r="L23" s="997"/>
      <c r="M23" s="997"/>
      <c r="N23" s="997"/>
      <c r="O23" s="997"/>
      <c r="P23" s="997"/>
      <c r="Q23" s="997"/>
      <c r="R23" s="997"/>
      <c r="S23" s="188"/>
      <c r="T23" s="188"/>
      <c r="U23" s="188"/>
      <c r="V23" s="996">
        <f t="shared" si="12"/>
        <v>0</v>
      </c>
      <c r="W23" s="996">
        <f t="shared" si="13"/>
        <v>0</v>
      </c>
      <c r="X23" s="716">
        <f t="shared" si="17"/>
        <v>0</v>
      </c>
      <c r="Y23" s="989">
        <f t="shared" si="14"/>
        <v>10000</v>
      </c>
      <c r="Z23" s="996">
        <f t="shared" si="15"/>
        <v>10000</v>
      </c>
    </row>
    <row r="24" spans="1:26" s="745" customFormat="1" x14ac:dyDescent="0.25">
      <c r="A24" s="841" t="s">
        <v>322</v>
      </c>
      <c r="B24" s="294"/>
      <c r="C24" s="843">
        <f t="shared" ref="C24:Z24" si="18">SUM(C22:C23)</f>
        <v>15000</v>
      </c>
      <c r="D24" s="843">
        <f t="shared" ref="D24" si="19">SUM(D22:D23)</f>
        <v>0</v>
      </c>
      <c r="E24" s="843">
        <f t="shared" ref="E24" si="20">SUM(E22:E23)</f>
        <v>0</v>
      </c>
      <c r="F24" s="843">
        <f t="shared" si="18"/>
        <v>15000</v>
      </c>
      <c r="G24" s="843">
        <f t="shared" si="18"/>
        <v>15000</v>
      </c>
      <c r="H24" s="843">
        <f t="shared" si="18"/>
        <v>15000</v>
      </c>
      <c r="I24" s="843">
        <f t="shared" si="18"/>
        <v>15000</v>
      </c>
      <c r="J24" s="843">
        <f t="shared" si="18"/>
        <v>0</v>
      </c>
      <c r="K24" s="298">
        <f t="shared" si="18"/>
        <v>0</v>
      </c>
      <c r="L24" s="298">
        <f t="shared" si="18"/>
        <v>0</v>
      </c>
      <c r="M24" s="298">
        <f t="shared" si="18"/>
        <v>0</v>
      </c>
      <c r="N24" s="298">
        <f t="shared" si="18"/>
        <v>0</v>
      </c>
      <c r="O24" s="298">
        <f t="shared" si="18"/>
        <v>0</v>
      </c>
      <c r="P24" s="298">
        <f t="shared" si="18"/>
        <v>0</v>
      </c>
      <c r="Q24" s="298">
        <f t="shared" si="18"/>
        <v>0</v>
      </c>
      <c r="R24" s="298">
        <f t="shared" si="18"/>
        <v>0</v>
      </c>
      <c r="S24" s="843">
        <f t="shared" si="18"/>
        <v>0</v>
      </c>
      <c r="T24" s="843">
        <f t="shared" si="18"/>
        <v>0</v>
      </c>
      <c r="U24" s="843">
        <f t="shared" si="18"/>
        <v>0</v>
      </c>
      <c r="V24" s="843">
        <f t="shared" si="18"/>
        <v>0</v>
      </c>
      <c r="W24" s="843">
        <f t="shared" si="18"/>
        <v>0</v>
      </c>
      <c r="X24" s="843">
        <f t="shared" si="18"/>
        <v>0</v>
      </c>
      <c r="Y24" s="843">
        <f t="shared" si="18"/>
        <v>15000</v>
      </c>
      <c r="Z24" s="843">
        <f t="shared" si="18"/>
        <v>15000</v>
      </c>
    </row>
    <row r="25" spans="1:26" s="300" customFormat="1" ht="15.75" thickBot="1" x14ac:dyDescent="0.3">
      <c r="A25" s="369" t="s">
        <v>327</v>
      </c>
      <c r="B25" s="404"/>
      <c r="C25" s="405">
        <f t="shared" ref="C25:Z25" si="21">C18+C24</f>
        <v>1109200</v>
      </c>
      <c r="D25" s="405">
        <f t="shared" ref="D25" si="22">D18+D24</f>
        <v>10120</v>
      </c>
      <c r="E25" s="405">
        <f t="shared" ref="E25" si="23">E18+E24</f>
        <v>93000</v>
      </c>
      <c r="F25" s="405">
        <f t="shared" si="21"/>
        <v>1212320</v>
      </c>
      <c r="G25" s="405">
        <f t="shared" si="21"/>
        <v>912990</v>
      </c>
      <c r="H25" s="405">
        <f t="shared" si="21"/>
        <v>114776.66666666667</v>
      </c>
      <c r="I25" s="405">
        <f t="shared" si="21"/>
        <v>1012766.6666666666</v>
      </c>
      <c r="J25" s="405">
        <f t="shared" si="21"/>
        <v>50340</v>
      </c>
      <c r="K25" s="1066">
        <f t="shared" si="21"/>
        <v>63600</v>
      </c>
      <c r="L25" s="1066">
        <f t="shared" si="21"/>
        <v>76629.55</v>
      </c>
      <c r="M25" s="1066">
        <f t="shared" si="21"/>
        <v>69471.240000000005</v>
      </c>
      <c r="N25" s="1066">
        <f t="shared" si="21"/>
        <v>66446</v>
      </c>
      <c r="O25" s="1066">
        <f t="shared" si="21"/>
        <v>74211</v>
      </c>
      <c r="P25" s="1066">
        <f t="shared" si="21"/>
        <v>69177.990000000005</v>
      </c>
      <c r="Q25" s="1066">
        <f t="shared" si="21"/>
        <v>91500.5</v>
      </c>
      <c r="R25" s="1066">
        <f t="shared" si="21"/>
        <v>80609</v>
      </c>
      <c r="S25" s="405">
        <f t="shared" si="21"/>
        <v>75299</v>
      </c>
      <c r="T25" s="405">
        <f t="shared" si="21"/>
        <v>0</v>
      </c>
      <c r="U25" s="405">
        <f t="shared" si="21"/>
        <v>0</v>
      </c>
      <c r="V25" s="405">
        <f t="shared" si="21"/>
        <v>641985.28000000003</v>
      </c>
      <c r="W25" s="405">
        <f t="shared" si="21"/>
        <v>75299</v>
      </c>
      <c r="X25" s="405">
        <f>X18+X24</f>
        <v>717284.28</v>
      </c>
      <c r="Y25" s="405">
        <f t="shared" si="21"/>
        <v>295482.38666666672</v>
      </c>
      <c r="Z25" s="405">
        <f t="shared" si="21"/>
        <v>495035.72</v>
      </c>
    </row>
    <row r="26" spans="1:26" ht="15.75" thickTop="1" x14ac:dyDescent="0.25"/>
    <row r="27" spans="1:26" x14ac:dyDescent="0.25">
      <c r="A27" s="21" t="s">
        <v>354</v>
      </c>
      <c r="B27" s="30"/>
      <c r="C27" s="35"/>
      <c r="D27" s="35"/>
      <c r="E27" s="35"/>
      <c r="F27" s="35"/>
      <c r="G27" s="35"/>
      <c r="H27" s="35"/>
      <c r="Y27" s="259" t="s">
        <v>357</v>
      </c>
    </row>
    <row r="29" spans="1:26" x14ac:dyDescent="0.25">
      <c r="B29" s="32"/>
      <c r="C29" s="36"/>
      <c r="D29" s="36"/>
      <c r="E29" s="36"/>
      <c r="F29" s="36"/>
      <c r="G29" s="36"/>
      <c r="H29" s="36"/>
    </row>
    <row r="30" spans="1:26" x14ac:dyDescent="0.25">
      <c r="A30" s="258" t="s">
        <v>355</v>
      </c>
      <c r="B30" s="14"/>
      <c r="C30" s="31"/>
      <c r="D30" s="31"/>
      <c r="E30" s="31"/>
      <c r="F30" s="31"/>
      <c r="G30" s="31"/>
      <c r="H30" s="31"/>
      <c r="Y30" s="260" t="s">
        <v>358</v>
      </c>
    </row>
    <row r="31" spans="1:26" x14ac:dyDescent="0.25">
      <c r="A31" s="259" t="s">
        <v>356</v>
      </c>
      <c r="Y31" s="259" t="s">
        <v>359</v>
      </c>
    </row>
  </sheetData>
  <mergeCells count="3">
    <mergeCell ref="A3:Z3"/>
    <mergeCell ref="A2:Z2"/>
    <mergeCell ref="A1:Z1"/>
  </mergeCells>
  <printOptions horizontalCentered="1" verticalCentered="1"/>
  <pageMargins left="1" right="0.25" top="0.85433070899999997" bottom="0.25" header="0.25" footer="0.25"/>
  <pageSetup paperSize="5" scale="6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0"/>
  <sheetViews>
    <sheetView view="pageBreakPreview" zoomScaleNormal="100" zoomScaleSheetLayoutView="100" workbookViewId="0">
      <pane xSplit="1" topLeftCell="G1" activePane="topRight" state="frozen"/>
      <selection pane="topRight" activeCell="D43" sqref="D43"/>
    </sheetView>
  </sheetViews>
  <sheetFormatPr defaultColWidth="12.7109375" defaultRowHeight="15" outlineLevelCol="1" x14ac:dyDescent="0.25"/>
  <cols>
    <col min="1" max="1" width="44.5703125" customWidth="1"/>
    <col min="2" max="2" width="14.28515625" customWidth="1"/>
    <col min="3" max="3" width="12.7109375" style="382" customWidth="1"/>
    <col min="4" max="4" width="14.7109375" style="951" customWidth="1"/>
    <col min="5" max="5" width="13" customWidth="1"/>
    <col min="6" max="6" width="13.85546875" customWidth="1"/>
    <col min="7" max="7" width="16.140625" customWidth="1"/>
    <col min="9" max="20" width="12.7109375" hidden="1" customWidth="1" outlineLevel="1"/>
    <col min="21" max="21" width="12.7109375" style="708" customWidth="1" collapsed="1"/>
    <col min="22" max="22" width="12.7109375" style="708"/>
  </cols>
  <sheetData>
    <row r="1" spans="1:25" x14ac:dyDescent="0.25">
      <c r="A1" s="1432" t="s">
        <v>352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1432"/>
      <c r="M1" s="1432"/>
      <c r="N1" s="1432"/>
      <c r="O1" s="1432"/>
      <c r="P1" s="1432"/>
      <c r="Q1" s="1432"/>
      <c r="R1" s="1432"/>
      <c r="S1" s="1432"/>
      <c r="T1" s="1432"/>
      <c r="U1" s="1432"/>
      <c r="V1" s="1432"/>
      <c r="W1" s="1432"/>
    </row>
    <row r="2" spans="1:25" x14ac:dyDescent="0.25">
      <c r="A2" s="1432" t="s">
        <v>353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</row>
    <row r="3" spans="1:25" ht="15.75" thickBot="1" x14ac:dyDescent="0.3">
      <c r="A3" s="1433" t="str">
        <f>'1019-NDRRM-ADMIN'!A3:X3</f>
        <v>For the Period October 1-31, 2021</v>
      </c>
      <c r="B3" s="1433"/>
      <c r="C3" s="1433"/>
      <c r="D3" s="1433"/>
      <c r="E3" s="1433"/>
      <c r="F3" s="1433"/>
      <c r="G3" s="1433"/>
      <c r="H3" s="1433"/>
      <c r="I3" s="1433"/>
      <c r="J3" s="1433"/>
      <c r="K3" s="1433"/>
      <c r="L3" s="1433"/>
      <c r="M3" s="1433"/>
      <c r="N3" s="1433"/>
      <c r="O3" s="1433"/>
      <c r="P3" s="1433"/>
      <c r="Q3" s="1433"/>
      <c r="R3" s="1433"/>
      <c r="S3" s="1433"/>
      <c r="T3" s="1433"/>
      <c r="U3" s="1433"/>
      <c r="V3" s="1433"/>
      <c r="W3" s="1433"/>
    </row>
    <row r="4" spans="1:25" s="21" customFormat="1" ht="15.75" thickTop="1" x14ac:dyDescent="0.25">
      <c r="A4" s="71" t="s">
        <v>347</v>
      </c>
      <c r="B4" s="18" t="s">
        <v>2</v>
      </c>
      <c r="C4" s="1316" t="s">
        <v>133</v>
      </c>
      <c r="D4" s="1437" t="s">
        <v>1358</v>
      </c>
      <c r="E4" s="71" t="s">
        <v>1</v>
      </c>
      <c r="F4" s="71" t="s">
        <v>316</v>
      </c>
      <c r="G4" s="71" t="s">
        <v>314</v>
      </c>
      <c r="H4" s="74" t="s">
        <v>346</v>
      </c>
      <c r="I4" s="262"/>
      <c r="J4" s="19"/>
      <c r="K4" s="19"/>
      <c r="L4" s="19"/>
      <c r="M4" s="24"/>
      <c r="N4" s="24"/>
      <c r="O4" s="24"/>
      <c r="P4" s="24"/>
      <c r="Q4" s="24"/>
      <c r="R4" s="24"/>
      <c r="S4" s="24"/>
      <c r="T4" s="24"/>
      <c r="U4" s="74" t="s">
        <v>316</v>
      </c>
      <c r="V4" s="74" t="s">
        <v>348</v>
      </c>
      <c r="W4" s="74" t="s">
        <v>1</v>
      </c>
      <c r="X4" s="74" t="s">
        <v>131</v>
      </c>
      <c r="Y4" s="74" t="s">
        <v>131</v>
      </c>
    </row>
    <row r="5" spans="1:25" s="21" customFormat="1" ht="29.25" customHeight="1" x14ac:dyDescent="0.25">
      <c r="A5" s="18"/>
      <c r="B5" s="18" t="s">
        <v>3</v>
      </c>
      <c r="C5" s="1317" t="s">
        <v>134</v>
      </c>
      <c r="D5" s="1438"/>
      <c r="E5" s="86" t="s">
        <v>314</v>
      </c>
      <c r="F5" s="86" t="s">
        <v>314</v>
      </c>
      <c r="G5" s="86" t="s">
        <v>315</v>
      </c>
      <c r="H5" s="74" t="s">
        <v>315</v>
      </c>
      <c r="I5" s="20" t="s">
        <v>0</v>
      </c>
      <c r="J5" s="20" t="s">
        <v>120</v>
      </c>
      <c r="K5" s="20" t="s">
        <v>121</v>
      </c>
      <c r="L5" s="20" t="s">
        <v>122</v>
      </c>
      <c r="M5" s="20" t="s">
        <v>123</v>
      </c>
      <c r="N5" s="20" t="s">
        <v>124</v>
      </c>
      <c r="O5" s="20" t="s">
        <v>125</v>
      </c>
      <c r="P5" s="20" t="s">
        <v>126</v>
      </c>
      <c r="Q5" s="20" t="s">
        <v>127</v>
      </c>
      <c r="R5" s="20" t="s">
        <v>128</v>
      </c>
      <c r="S5" s="20" t="s">
        <v>129</v>
      </c>
      <c r="T5" s="20" t="s">
        <v>130</v>
      </c>
      <c r="U5" s="724" t="s">
        <v>317</v>
      </c>
      <c r="V5" s="724" t="s">
        <v>315</v>
      </c>
      <c r="W5" s="76" t="s">
        <v>317</v>
      </c>
      <c r="X5" s="76" t="s">
        <v>314</v>
      </c>
      <c r="Y5" s="76" t="s">
        <v>132</v>
      </c>
    </row>
    <row r="6" spans="1:25" x14ac:dyDescent="0.25">
      <c r="A6" s="81" t="s">
        <v>366</v>
      </c>
      <c r="B6" s="48"/>
      <c r="C6" s="379"/>
      <c r="D6" s="869"/>
      <c r="E6" s="48"/>
      <c r="F6" s="48"/>
      <c r="G6" s="48"/>
      <c r="H6" s="99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673"/>
      <c r="V6" s="673"/>
      <c r="W6" s="48"/>
      <c r="X6" s="48"/>
      <c r="Y6" s="48"/>
    </row>
    <row r="7" spans="1:25" x14ac:dyDescent="0.25">
      <c r="A7" s="110" t="s">
        <v>231</v>
      </c>
      <c r="B7" s="150"/>
      <c r="C7" s="379"/>
      <c r="D7" s="869"/>
      <c r="E7" s="48"/>
      <c r="F7" s="48"/>
      <c r="G7" s="48"/>
      <c r="H7" s="99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673"/>
      <c r="V7" s="673"/>
      <c r="W7" s="77"/>
      <c r="X7" s="43">
        <f t="shared" ref="X7" si="0">H7-W7</f>
        <v>0</v>
      </c>
      <c r="Y7" s="48"/>
    </row>
    <row r="8" spans="1:25" x14ac:dyDescent="0.25">
      <c r="A8" s="350" t="s">
        <v>561</v>
      </c>
      <c r="B8" s="409"/>
      <c r="C8" s="1089"/>
      <c r="D8" s="414"/>
      <c r="E8" s="122"/>
      <c r="F8" s="122"/>
      <c r="G8" s="122"/>
      <c r="H8" s="43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673"/>
      <c r="V8" s="673"/>
      <c r="W8" s="77"/>
      <c r="X8" s="43"/>
      <c r="Y8" s="89"/>
    </row>
    <row r="9" spans="1:25" x14ac:dyDescent="0.25">
      <c r="A9" s="44" t="s">
        <v>562</v>
      </c>
      <c r="B9" s="409"/>
      <c r="C9" s="1089"/>
      <c r="D9" s="414"/>
      <c r="E9" s="122"/>
      <c r="F9" s="122"/>
      <c r="G9" s="122"/>
      <c r="H9" s="43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673"/>
      <c r="V9" s="673"/>
      <c r="W9" s="77"/>
      <c r="X9" s="43"/>
      <c r="Y9" s="89"/>
    </row>
    <row r="10" spans="1:25" x14ac:dyDescent="0.25">
      <c r="A10" s="61" t="s">
        <v>139</v>
      </c>
      <c r="B10" s="46" t="s">
        <v>43</v>
      </c>
      <c r="C10" s="1318"/>
      <c r="D10" s="421"/>
      <c r="E10" s="122"/>
      <c r="F10" s="122"/>
      <c r="G10" s="122"/>
      <c r="H10" s="43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673"/>
      <c r="V10" s="673"/>
      <c r="W10" s="77"/>
      <c r="X10" s="43"/>
      <c r="Y10" s="89"/>
    </row>
    <row r="11" spans="1:25" x14ac:dyDescent="0.25">
      <c r="A11" s="278" t="s">
        <v>563</v>
      </c>
      <c r="B11" s="46"/>
      <c r="C11" s="1318">
        <v>20000</v>
      </c>
      <c r="D11" s="421"/>
      <c r="E11" s="122">
        <f>SUM(C11:D11)</f>
        <v>20000</v>
      </c>
      <c r="F11" s="122">
        <f>E11/12*8</f>
        <v>13333.333333333334</v>
      </c>
      <c r="G11" s="122">
        <f>E11/12</f>
        <v>1666.6666666666667</v>
      </c>
      <c r="H11" s="43">
        <f>F11+G11</f>
        <v>15000</v>
      </c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673">
        <f>I11+J11+K11+L11+M11+N11+O11+P11+Q11</f>
        <v>0</v>
      </c>
      <c r="V11" s="673">
        <f>R11</f>
        <v>0</v>
      </c>
      <c r="W11" s="77">
        <f t="shared" ref="W11:W109" si="1">U11+V11</f>
        <v>0</v>
      </c>
      <c r="X11" s="43">
        <f t="shared" ref="X11:X109" si="2">H11-W11</f>
        <v>15000</v>
      </c>
      <c r="Y11" s="89">
        <f t="shared" ref="Y11:Y109" si="3">E11-W11</f>
        <v>20000</v>
      </c>
    </row>
    <row r="12" spans="1:25" x14ac:dyDescent="0.25">
      <c r="A12" s="61" t="s">
        <v>542</v>
      </c>
      <c r="B12" s="46" t="s">
        <v>150</v>
      </c>
      <c r="C12" s="1318">
        <v>15000</v>
      </c>
      <c r="D12" s="421"/>
      <c r="E12" s="677">
        <f t="shared" ref="E12:E110" si="4">SUM(C12:D12)</f>
        <v>15000</v>
      </c>
      <c r="F12" s="677">
        <f t="shared" ref="F12:F75" si="5">E12/12*8</f>
        <v>10000</v>
      </c>
      <c r="G12" s="677">
        <f t="shared" ref="G12:G110" si="6">E12/12</f>
        <v>1250</v>
      </c>
      <c r="H12" s="718">
        <f t="shared" ref="H12:H110" si="7">F12+G12</f>
        <v>11250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673">
        <f t="shared" ref="U12:U75" si="8">I12+J12+K12+L12+M12+N12+O12+P12+Q12</f>
        <v>0</v>
      </c>
      <c r="V12" s="673">
        <f t="shared" ref="V12:V75" si="9">R12</f>
        <v>0</v>
      </c>
      <c r="W12" s="77">
        <f t="shared" si="1"/>
        <v>0</v>
      </c>
      <c r="X12" s="43">
        <f t="shared" si="2"/>
        <v>11250</v>
      </c>
      <c r="Y12" s="89">
        <f t="shared" si="3"/>
        <v>15000</v>
      </c>
    </row>
    <row r="13" spans="1:25" x14ac:dyDescent="0.25">
      <c r="A13" s="278" t="s">
        <v>564</v>
      </c>
      <c r="B13" s="46"/>
      <c r="C13" s="1318">
        <v>15000</v>
      </c>
      <c r="D13" s="421"/>
      <c r="E13" s="677">
        <f t="shared" si="4"/>
        <v>15000</v>
      </c>
      <c r="F13" s="677">
        <f t="shared" si="5"/>
        <v>10000</v>
      </c>
      <c r="G13" s="677">
        <f t="shared" si="6"/>
        <v>1250</v>
      </c>
      <c r="H13" s="718">
        <f t="shared" si="7"/>
        <v>11250</v>
      </c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673">
        <f t="shared" si="8"/>
        <v>0</v>
      </c>
      <c r="V13" s="673">
        <f t="shared" si="9"/>
        <v>0</v>
      </c>
      <c r="W13" s="77">
        <f t="shared" si="1"/>
        <v>0</v>
      </c>
      <c r="X13" s="43">
        <f t="shared" si="2"/>
        <v>11250</v>
      </c>
      <c r="Y13" s="89">
        <f t="shared" si="3"/>
        <v>15000</v>
      </c>
    </row>
    <row r="14" spans="1:25" x14ac:dyDescent="0.25">
      <c r="A14" s="278" t="s">
        <v>565</v>
      </c>
      <c r="B14" s="46"/>
      <c r="C14" s="1318">
        <v>20000</v>
      </c>
      <c r="D14" s="421"/>
      <c r="E14" s="677">
        <f t="shared" si="4"/>
        <v>20000</v>
      </c>
      <c r="F14" s="677">
        <f t="shared" si="5"/>
        <v>13333.333333333334</v>
      </c>
      <c r="G14" s="677">
        <f t="shared" si="6"/>
        <v>1666.6666666666667</v>
      </c>
      <c r="H14" s="718">
        <f t="shared" si="7"/>
        <v>15000</v>
      </c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673">
        <f t="shared" si="8"/>
        <v>0</v>
      </c>
      <c r="V14" s="673">
        <f t="shared" si="9"/>
        <v>0</v>
      </c>
      <c r="W14" s="77">
        <f t="shared" si="1"/>
        <v>0</v>
      </c>
      <c r="X14" s="43">
        <f t="shared" si="2"/>
        <v>15000</v>
      </c>
      <c r="Y14" s="89">
        <f t="shared" si="3"/>
        <v>20000</v>
      </c>
    </row>
    <row r="15" spans="1:25" x14ac:dyDescent="0.25">
      <c r="A15" s="61" t="s">
        <v>227</v>
      </c>
      <c r="B15" s="46" t="s">
        <v>153</v>
      </c>
      <c r="C15" s="1318"/>
      <c r="D15" s="421"/>
      <c r="E15" s="677">
        <f t="shared" si="4"/>
        <v>0</v>
      </c>
      <c r="F15" s="677">
        <f t="shared" si="5"/>
        <v>0</v>
      </c>
      <c r="G15" s="677">
        <f t="shared" si="6"/>
        <v>0</v>
      </c>
      <c r="H15" s="718">
        <f t="shared" si="7"/>
        <v>0</v>
      </c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673">
        <f t="shared" si="8"/>
        <v>0</v>
      </c>
      <c r="V15" s="673">
        <f t="shared" si="9"/>
        <v>0</v>
      </c>
      <c r="W15" s="77">
        <f t="shared" si="1"/>
        <v>0</v>
      </c>
      <c r="X15" s="43">
        <f t="shared" si="2"/>
        <v>0</v>
      </c>
      <c r="Y15" s="89">
        <f t="shared" si="3"/>
        <v>0</v>
      </c>
    </row>
    <row r="16" spans="1:25" x14ac:dyDescent="0.25">
      <c r="A16" s="61" t="s">
        <v>69</v>
      </c>
      <c r="B16" s="46" t="s">
        <v>70</v>
      </c>
      <c r="C16" s="1318"/>
      <c r="D16" s="421"/>
      <c r="E16" s="677">
        <f t="shared" si="4"/>
        <v>0</v>
      </c>
      <c r="F16" s="677">
        <f t="shared" si="5"/>
        <v>0</v>
      </c>
      <c r="G16" s="677">
        <f t="shared" si="6"/>
        <v>0</v>
      </c>
      <c r="H16" s="718">
        <f t="shared" si="7"/>
        <v>0</v>
      </c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673">
        <f t="shared" si="8"/>
        <v>0</v>
      </c>
      <c r="V16" s="673">
        <f t="shared" si="9"/>
        <v>0</v>
      </c>
      <c r="W16" s="77">
        <f t="shared" si="1"/>
        <v>0</v>
      </c>
      <c r="X16" s="43">
        <f t="shared" si="2"/>
        <v>0</v>
      </c>
      <c r="Y16" s="89">
        <f t="shared" si="3"/>
        <v>0</v>
      </c>
    </row>
    <row r="17" spans="1:25" x14ac:dyDescent="0.25">
      <c r="A17" s="278" t="s">
        <v>566</v>
      </c>
      <c r="B17" s="46"/>
      <c r="C17" s="1318">
        <v>50000</v>
      </c>
      <c r="D17" s="421"/>
      <c r="E17" s="677">
        <f t="shared" si="4"/>
        <v>50000</v>
      </c>
      <c r="F17" s="677">
        <f t="shared" si="5"/>
        <v>33333.333333333336</v>
      </c>
      <c r="G17" s="677">
        <f t="shared" si="6"/>
        <v>4166.666666666667</v>
      </c>
      <c r="H17" s="718">
        <f t="shared" si="7"/>
        <v>37500</v>
      </c>
      <c r="I17" s="90"/>
      <c r="J17" s="90"/>
      <c r="K17" s="90"/>
      <c r="L17" s="90"/>
      <c r="M17" s="48"/>
      <c r="N17" s="48"/>
      <c r="O17" s="48"/>
      <c r="P17" s="48"/>
      <c r="Q17" s="48"/>
      <c r="R17" s="48"/>
      <c r="S17" s="48"/>
      <c r="T17" s="48"/>
      <c r="U17" s="673">
        <f t="shared" si="8"/>
        <v>0</v>
      </c>
      <c r="V17" s="673">
        <f t="shared" si="9"/>
        <v>0</v>
      </c>
      <c r="W17" s="77">
        <f t="shared" si="1"/>
        <v>0</v>
      </c>
      <c r="X17" s="43">
        <f t="shared" si="2"/>
        <v>37500</v>
      </c>
      <c r="Y17" s="89">
        <f t="shared" si="3"/>
        <v>50000</v>
      </c>
    </row>
    <row r="18" spans="1:25" x14ac:dyDescent="0.25">
      <c r="A18" s="61" t="s">
        <v>567</v>
      </c>
      <c r="B18" s="114" t="s">
        <v>93</v>
      </c>
      <c r="C18" s="1318">
        <v>75000</v>
      </c>
      <c r="D18" s="421"/>
      <c r="E18" s="677">
        <f t="shared" si="4"/>
        <v>75000</v>
      </c>
      <c r="F18" s="677">
        <f t="shared" si="5"/>
        <v>50000</v>
      </c>
      <c r="G18" s="677">
        <f t="shared" si="6"/>
        <v>6250</v>
      </c>
      <c r="H18" s="718">
        <f t="shared" si="7"/>
        <v>56250</v>
      </c>
      <c r="I18" s="90"/>
      <c r="J18" s="90"/>
      <c r="K18" s="90"/>
      <c r="L18" s="90"/>
      <c r="M18" s="48"/>
      <c r="N18" s="48"/>
      <c r="O18" s="48"/>
      <c r="P18" s="48"/>
      <c r="Q18" s="48"/>
      <c r="R18" s="48"/>
      <c r="S18" s="48"/>
      <c r="T18" s="48"/>
      <c r="U18" s="673">
        <f t="shared" si="8"/>
        <v>0</v>
      </c>
      <c r="V18" s="673">
        <f t="shared" si="9"/>
        <v>0</v>
      </c>
      <c r="W18" s="77">
        <f t="shared" si="1"/>
        <v>0</v>
      </c>
      <c r="X18" s="43">
        <f t="shared" si="2"/>
        <v>56250</v>
      </c>
      <c r="Y18" s="89">
        <f t="shared" si="3"/>
        <v>75000</v>
      </c>
    </row>
    <row r="19" spans="1:25" x14ac:dyDescent="0.25">
      <c r="A19" s="44" t="s">
        <v>568</v>
      </c>
      <c r="B19" s="46"/>
      <c r="C19" s="232"/>
      <c r="D19" s="217"/>
      <c r="E19" s="677">
        <f t="shared" si="4"/>
        <v>0</v>
      </c>
      <c r="F19" s="677">
        <f t="shared" si="5"/>
        <v>0</v>
      </c>
      <c r="G19" s="677">
        <f t="shared" si="6"/>
        <v>0</v>
      </c>
      <c r="H19" s="718">
        <f t="shared" si="7"/>
        <v>0</v>
      </c>
      <c r="I19" s="90"/>
      <c r="J19" s="90"/>
      <c r="K19" s="90"/>
      <c r="L19" s="90"/>
      <c r="M19" s="48"/>
      <c r="N19" s="48"/>
      <c r="O19" s="48"/>
      <c r="P19" s="48"/>
      <c r="Q19" s="48"/>
      <c r="R19" s="48"/>
      <c r="S19" s="48"/>
      <c r="T19" s="48"/>
      <c r="U19" s="673">
        <f t="shared" si="8"/>
        <v>0</v>
      </c>
      <c r="V19" s="673">
        <f t="shared" si="9"/>
        <v>0</v>
      </c>
      <c r="W19" s="77">
        <f t="shared" si="1"/>
        <v>0</v>
      </c>
      <c r="X19" s="43">
        <f t="shared" si="2"/>
        <v>0</v>
      </c>
      <c r="Y19" s="89">
        <f t="shared" si="3"/>
        <v>0</v>
      </c>
    </row>
    <row r="20" spans="1:25" x14ac:dyDescent="0.25">
      <c r="A20" s="61" t="s">
        <v>542</v>
      </c>
      <c r="B20" s="46" t="s">
        <v>150</v>
      </c>
      <c r="C20" s="1318"/>
      <c r="D20" s="421"/>
      <c r="E20" s="677">
        <f t="shared" si="4"/>
        <v>0</v>
      </c>
      <c r="F20" s="677">
        <f t="shared" si="5"/>
        <v>0</v>
      </c>
      <c r="G20" s="677">
        <f t="shared" si="6"/>
        <v>0</v>
      </c>
      <c r="H20" s="718">
        <f t="shared" si="7"/>
        <v>0</v>
      </c>
      <c r="I20" s="90"/>
      <c r="J20" s="90"/>
      <c r="K20" s="90"/>
      <c r="L20" s="90"/>
      <c r="M20" s="48"/>
      <c r="N20" s="48"/>
      <c r="O20" s="48"/>
      <c r="P20" s="48"/>
      <c r="Q20" s="48"/>
      <c r="R20" s="48"/>
      <c r="S20" s="48"/>
      <c r="T20" s="48"/>
      <c r="U20" s="673">
        <f t="shared" si="8"/>
        <v>0</v>
      </c>
      <c r="V20" s="673">
        <f t="shared" si="9"/>
        <v>0</v>
      </c>
      <c r="W20" s="77">
        <f t="shared" si="1"/>
        <v>0</v>
      </c>
      <c r="X20" s="43">
        <f t="shared" si="2"/>
        <v>0</v>
      </c>
      <c r="Y20" s="89">
        <f t="shared" si="3"/>
        <v>0</v>
      </c>
    </row>
    <row r="21" spans="1:25" x14ac:dyDescent="0.25">
      <c r="A21" s="278" t="s">
        <v>569</v>
      </c>
      <c r="B21" s="46"/>
      <c r="C21" s="1318">
        <v>15000</v>
      </c>
      <c r="D21" s="421"/>
      <c r="E21" s="677">
        <f t="shared" si="4"/>
        <v>15000</v>
      </c>
      <c r="F21" s="677">
        <f t="shared" si="5"/>
        <v>10000</v>
      </c>
      <c r="G21" s="677">
        <f t="shared" si="6"/>
        <v>1250</v>
      </c>
      <c r="H21" s="718">
        <f t="shared" si="7"/>
        <v>11250</v>
      </c>
      <c r="I21" s="90"/>
      <c r="J21" s="90"/>
      <c r="K21" s="90"/>
      <c r="L21" s="90"/>
      <c r="M21" s="48"/>
      <c r="N21" s="48"/>
      <c r="O21" s="48"/>
      <c r="P21" s="48"/>
      <c r="Q21" s="48"/>
      <c r="R21" s="48"/>
      <c r="S21" s="48"/>
      <c r="T21" s="48"/>
      <c r="U21" s="673">
        <f t="shared" si="8"/>
        <v>0</v>
      </c>
      <c r="V21" s="673">
        <f t="shared" si="9"/>
        <v>0</v>
      </c>
      <c r="W21" s="77">
        <f t="shared" si="1"/>
        <v>0</v>
      </c>
      <c r="X21" s="43">
        <f t="shared" si="2"/>
        <v>11250</v>
      </c>
      <c r="Y21" s="89">
        <f t="shared" si="3"/>
        <v>15000</v>
      </c>
    </row>
    <row r="22" spans="1:25" x14ac:dyDescent="0.25">
      <c r="A22" s="278" t="s">
        <v>570</v>
      </c>
      <c r="B22" s="46"/>
      <c r="C22" s="1318">
        <v>5000</v>
      </c>
      <c r="D22" s="421"/>
      <c r="E22" s="677">
        <f t="shared" si="4"/>
        <v>5000</v>
      </c>
      <c r="F22" s="677">
        <f t="shared" si="5"/>
        <v>3333.3333333333335</v>
      </c>
      <c r="G22" s="677">
        <f t="shared" si="6"/>
        <v>416.66666666666669</v>
      </c>
      <c r="H22" s="718">
        <f t="shared" si="7"/>
        <v>3750</v>
      </c>
      <c r="I22" s="90"/>
      <c r="J22" s="90"/>
      <c r="K22" s="90"/>
      <c r="L22" s="90"/>
      <c r="M22" s="48"/>
      <c r="N22" s="48"/>
      <c r="O22" s="48"/>
      <c r="P22" s="48"/>
      <c r="Q22" s="48"/>
      <c r="R22" s="48"/>
      <c r="S22" s="48"/>
      <c r="T22" s="48"/>
      <c r="U22" s="673">
        <f t="shared" si="8"/>
        <v>0</v>
      </c>
      <c r="V22" s="673">
        <f t="shared" si="9"/>
        <v>0</v>
      </c>
      <c r="W22" s="77">
        <f t="shared" si="1"/>
        <v>0</v>
      </c>
      <c r="X22" s="43">
        <f t="shared" si="2"/>
        <v>3750</v>
      </c>
      <c r="Y22" s="89">
        <f t="shared" si="3"/>
        <v>5000</v>
      </c>
    </row>
    <row r="23" spans="1:25" x14ac:dyDescent="0.25">
      <c r="A23" s="61" t="s">
        <v>69</v>
      </c>
      <c r="B23" s="46" t="s">
        <v>70</v>
      </c>
      <c r="C23" s="1318"/>
      <c r="D23" s="421"/>
      <c r="E23" s="677">
        <f t="shared" si="4"/>
        <v>0</v>
      </c>
      <c r="F23" s="677">
        <f t="shared" si="5"/>
        <v>0</v>
      </c>
      <c r="G23" s="677">
        <f t="shared" si="6"/>
        <v>0</v>
      </c>
      <c r="H23" s="718">
        <f t="shared" si="7"/>
        <v>0</v>
      </c>
      <c r="I23" s="90"/>
      <c r="J23" s="90"/>
      <c r="K23" s="90"/>
      <c r="L23" s="90"/>
      <c r="M23" s="48"/>
      <c r="N23" s="48"/>
      <c r="O23" s="48"/>
      <c r="P23" s="48"/>
      <c r="Q23" s="48"/>
      <c r="R23" s="48"/>
      <c r="S23" s="48"/>
      <c r="T23" s="48"/>
      <c r="U23" s="673">
        <f t="shared" si="8"/>
        <v>0</v>
      </c>
      <c r="V23" s="673">
        <f t="shared" si="9"/>
        <v>0</v>
      </c>
      <c r="W23" s="77">
        <f t="shared" si="1"/>
        <v>0</v>
      </c>
      <c r="X23" s="43">
        <f t="shared" si="2"/>
        <v>0</v>
      </c>
      <c r="Y23" s="89">
        <f t="shared" si="3"/>
        <v>0</v>
      </c>
    </row>
    <row r="24" spans="1:25" x14ac:dyDescent="0.25">
      <c r="A24" s="278" t="s">
        <v>571</v>
      </c>
      <c r="B24" s="46"/>
      <c r="C24" s="1318">
        <v>5000</v>
      </c>
      <c r="D24" s="421"/>
      <c r="E24" s="677">
        <f t="shared" si="4"/>
        <v>5000</v>
      </c>
      <c r="F24" s="677">
        <f t="shared" si="5"/>
        <v>3333.3333333333335</v>
      </c>
      <c r="G24" s="677">
        <f t="shared" si="6"/>
        <v>416.66666666666669</v>
      </c>
      <c r="H24" s="718">
        <f t="shared" si="7"/>
        <v>3750</v>
      </c>
      <c r="I24" s="90"/>
      <c r="J24" s="90"/>
      <c r="K24" s="90"/>
      <c r="L24" s="90"/>
      <c r="M24" s="48"/>
      <c r="N24" s="48"/>
      <c r="O24" s="48"/>
      <c r="P24" s="48"/>
      <c r="Q24" s="48"/>
      <c r="R24" s="48"/>
      <c r="S24" s="48"/>
      <c r="T24" s="48"/>
      <c r="U24" s="673">
        <f t="shared" si="8"/>
        <v>0</v>
      </c>
      <c r="V24" s="673">
        <f t="shared" si="9"/>
        <v>0</v>
      </c>
      <c r="W24" s="77">
        <f t="shared" si="1"/>
        <v>0</v>
      </c>
      <c r="X24" s="43">
        <f t="shared" si="2"/>
        <v>3750</v>
      </c>
      <c r="Y24" s="89">
        <f t="shared" si="3"/>
        <v>5000</v>
      </c>
    </row>
    <row r="25" spans="1:25" x14ac:dyDescent="0.25">
      <c r="A25" s="278" t="s">
        <v>572</v>
      </c>
      <c r="B25" s="46"/>
      <c r="C25" s="1318">
        <v>15000</v>
      </c>
      <c r="D25" s="421"/>
      <c r="E25" s="677">
        <f t="shared" si="4"/>
        <v>15000</v>
      </c>
      <c r="F25" s="677">
        <f t="shared" si="5"/>
        <v>10000</v>
      </c>
      <c r="G25" s="677">
        <f t="shared" si="6"/>
        <v>1250</v>
      </c>
      <c r="H25" s="718">
        <f t="shared" si="7"/>
        <v>11250</v>
      </c>
      <c r="I25" s="90"/>
      <c r="J25" s="90"/>
      <c r="K25" s="90"/>
      <c r="L25" s="90"/>
      <c r="M25" s="48"/>
      <c r="N25" s="48"/>
      <c r="O25" s="48"/>
      <c r="P25" s="48"/>
      <c r="Q25" s="48"/>
      <c r="R25" s="48"/>
      <c r="S25" s="48"/>
      <c r="T25" s="48"/>
      <c r="U25" s="673">
        <f t="shared" si="8"/>
        <v>0</v>
      </c>
      <c r="V25" s="673">
        <f t="shared" si="9"/>
        <v>0</v>
      </c>
      <c r="W25" s="77">
        <f t="shared" si="1"/>
        <v>0</v>
      </c>
      <c r="X25" s="43">
        <f t="shared" si="2"/>
        <v>11250</v>
      </c>
      <c r="Y25" s="89">
        <f t="shared" si="3"/>
        <v>15000</v>
      </c>
    </row>
    <row r="26" spans="1:25" x14ac:dyDescent="0.25">
      <c r="A26" s="61" t="s">
        <v>573</v>
      </c>
      <c r="B26" s="46" t="s">
        <v>104</v>
      </c>
      <c r="C26" s="1318"/>
      <c r="D26" s="421"/>
      <c r="E26" s="677">
        <f t="shared" si="4"/>
        <v>0</v>
      </c>
      <c r="F26" s="677">
        <f t="shared" si="5"/>
        <v>0</v>
      </c>
      <c r="G26" s="677">
        <f t="shared" si="6"/>
        <v>0</v>
      </c>
      <c r="H26" s="718">
        <f t="shared" si="7"/>
        <v>0</v>
      </c>
      <c r="I26" s="90"/>
      <c r="J26" s="90"/>
      <c r="K26" s="90"/>
      <c r="L26" s="90"/>
      <c r="M26" s="48"/>
      <c r="N26" s="48"/>
      <c r="O26" s="48"/>
      <c r="P26" s="48"/>
      <c r="Q26" s="48"/>
      <c r="R26" s="48"/>
      <c r="S26" s="48"/>
      <c r="T26" s="48"/>
      <c r="U26" s="673">
        <f t="shared" si="8"/>
        <v>0</v>
      </c>
      <c r="V26" s="673">
        <f t="shared" si="9"/>
        <v>0</v>
      </c>
      <c r="W26" s="77">
        <f t="shared" si="1"/>
        <v>0</v>
      </c>
      <c r="X26" s="43">
        <f t="shared" si="2"/>
        <v>0</v>
      </c>
      <c r="Y26" s="89">
        <f t="shared" si="3"/>
        <v>0</v>
      </c>
    </row>
    <row r="27" spans="1:25" x14ac:dyDescent="0.25">
      <c r="A27" s="278" t="s">
        <v>574</v>
      </c>
      <c r="B27" s="46"/>
      <c r="C27" s="1318">
        <v>8000</v>
      </c>
      <c r="D27" s="421"/>
      <c r="E27" s="677">
        <f t="shared" si="4"/>
        <v>8000</v>
      </c>
      <c r="F27" s="677">
        <f t="shared" si="5"/>
        <v>5333.333333333333</v>
      </c>
      <c r="G27" s="677">
        <f t="shared" si="6"/>
        <v>666.66666666666663</v>
      </c>
      <c r="H27" s="718">
        <f t="shared" si="7"/>
        <v>6000</v>
      </c>
      <c r="I27" s="90"/>
      <c r="J27" s="90"/>
      <c r="K27" s="90"/>
      <c r="L27" s="90"/>
      <c r="M27" s="48"/>
      <c r="N27" s="48"/>
      <c r="O27" s="48"/>
      <c r="P27" s="48"/>
      <c r="Q27" s="48"/>
      <c r="R27" s="48"/>
      <c r="S27" s="48"/>
      <c r="T27" s="48"/>
      <c r="U27" s="673">
        <f t="shared" si="8"/>
        <v>0</v>
      </c>
      <c r="V27" s="673">
        <f t="shared" si="9"/>
        <v>0</v>
      </c>
      <c r="W27" s="77">
        <f t="shared" si="1"/>
        <v>0</v>
      </c>
      <c r="X27" s="43">
        <f t="shared" si="2"/>
        <v>6000</v>
      </c>
      <c r="Y27" s="89">
        <f t="shared" si="3"/>
        <v>8000</v>
      </c>
    </row>
    <row r="28" spans="1:25" x14ac:dyDescent="0.25">
      <c r="A28" s="44" t="s">
        <v>575</v>
      </c>
      <c r="B28" s="46"/>
      <c r="C28" s="232"/>
      <c r="D28" s="217"/>
      <c r="E28" s="677">
        <f t="shared" si="4"/>
        <v>0</v>
      </c>
      <c r="F28" s="677">
        <f t="shared" si="5"/>
        <v>0</v>
      </c>
      <c r="G28" s="677">
        <f t="shared" si="6"/>
        <v>0</v>
      </c>
      <c r="H28" s="718">
        <f t="shared" si="7"/>
        <v>0</v>
      </c>
      <c r="I28" s="90"/>
      <c r="J28" s="90"/>
      <c r="K28" s="90"/>
      <c r="L28" s="90"/>
      <c r="M28" s="48"/>
      <c r="N28" s="48"/>
      <c r="O28" s="48"/>
      <c r="P28" s="48"/>
      <c r="Q28" s="48"/>
      <c r="R28" s="48"/>
      <c r="S28" s="48"/>
      <c r="T28" s="48"/>
      <c r="U28" s="673">
        <f t="shared" si="8"/>
        <v>0</v>
      </c>
      <c r="V28" s="673">
        <f t="shared" si="9"/>
        <v>0</v>
      </c>
      <c r="W28" s="77">
        <f t="shared" si="1"/>
        <v>0</v>
      </c>
      <c r="X28" s="43">
        <f t="shared" si="2"/>
        <v>0</v>
      </c>
      <c r="Y28" s="89">
        <f t="shared" si="3"/>
        <v>0</v>
      </c>
    </row>
    <row r="29" spans="1:25" x14ac:dyDescent="0.25">
      <c r="A29" s="61" t="s">
        <v>542</v>
      </c>
      <c r="B29" s="46" t="s">
        <v>150</v>
      </c>
      <c r="C29" s="232"/>
      <c r="D29" s="217"/>
      <c r="E29" s="677">
        <f t="shared" si="4"/>
        <v>0</v>
      </c>
      <c r="F29" s="677">
        <f t="shared" si="5"/>
        <v>0</v>
      </c>
      <c r="G29" s="677">
        <f t="shared" si="6"/>
        <v>0</v>
      </c>
      <c r="H29" s="718">
        <f t="shared" si="7"/>
        <v>0</v>
      </c>
      <c r="I29" s="90"/>
      <c r="J29" s="90"/>
      <c r="K29" s="90"/>
      <c r="L29" s="90"/>
      <c r="M29" s="48"/>
      <c r="N29" s="48"/>
      <c r="O29" s="48"/>
      <c r="P29" s="48"/>
      <c r="Q29" s="48"/>
      <c r="R29" s="48"/>
      <c r="S29" s="48"/>
      <c r="T29" s="48"/>
      <c r="U29" s="673">
        <f t="shared" si="8"/>
        <v>0</v>
      </c>
      <c r="V29" s="673">
        <f t="shared" si="9"/>
        <v>0</v>
      </c>
      <c r="W29" s="77">
        <f t="shared" si="1"/>
        <v>0</v>
      </c>
      <c r="X29" s="43">
        <f t="shared" si="2"/>
        <v>0</v>
      </c>
      <c r="Y29" s="89">
        <f t="shared" si="3"/>
        <v>0</v>
      </c>
    </row>
    <row r="30" spans="1:25" x14ac:dyDescent="0.25">
      <c r="A30" s="278" t="s">
        <v>576</v>
      </c>
      <c r="B30" s="46"/>
      <c r="C30" s="1318">
        <v>13500</v>
      </c>
      <c r="D30" s="421"/>
      <c r="E30" s="677">
        <f t="shared" si="4"/>
        <v>13500</v>
      </c>
      <c r="F30" s="677">
        <f t="shared" si="5"/>
        <v>9000</v>
      </c>
      <c r="G30" s="677">
        <f t="shared" si="6"/>
        <v>1125</v>
      </c>
      <c r="H30" s="718">
        <f t="shared" si="7"/>
        <v>10125</v>
      </c>
      <c r="I30" s="90"/>
      <c r="J30" s="90"/>
      <c r="K30" s="90"/>
      <c r="L30" s="90"/>
      <c r="M30" s="48"/>
      <c r="N30" s="48"/>
      <c r="O30" s="48"/>
      <c r="P30" s="48"/>
      <c r="Q30" s="48"/>
      <c r="R30" s="48"/>
      <c r="S30" s="48"/>
      <c r="T30" s="48"/>
      <c r="U30" s="673">
        <f t="shared" si="8"/>
        <v>0</v>
      </c>
      <c r="V30" s="673">
        <f t="shared" si="9"/>
        <v>0</v>
      </c>
      <c r="W30" s="77">
        <f t="shared" si="1"/>
        <v>0</v>
      </c>
      <c r="X30" s="43">
        <f t="shared" si="2"/>
        <v>10125</v>
      </c>
      <c r="Y30" s="89">
        <f t="shared" si="3"/>
        <v>13500</v>
      </c>
    </row>
    <row r="31" spans="1:25" x14ac:dyDescent="0.25">
      <c r="A31" s="61" t="s">
        <v>69</v>
      </c>
      <c r="B31" s="46" t="s">
        <v>70</v>
      </c>
      <c r="C31" s="1318"/>
      <c r="D31" s="421"/>
      <c r="E31" s="677">
        <f t="shared" si="4"/>
        <v>0</v>
      </c>
      <c r="F31" s="677">
        <f t="shared" si="5"/>
        <v>0</v>
      </c>
      <c r="G31" s="677">
        <f t="shared" si="6"/>
        <v>0</v>
      </c>
      <c r="H31" s="718">
        <f t="shared" si="7"/>
        <v>0</v>
      </c>
      <c r="I31" s="90"/>
      <c r="J31" s="90"/>
      <c r="K31" s="90"/>
      <c r="L31" s="90"/>
      <c r="M31" s="48"/>
      <c r="N31" s="48"/>
      <c r="O31" s="48"/>
      <c r="P31" s="48"/>
      <c r="Q31" s="48"/>
      <c r="R31" s="48"/>
      <c r="S31" s="48"/>
      <c r="T31" s="48"/>
      <c r="U31" s="673">
        <f t="shared" si="8"/>
        <v>0</v>
      </c>
      <c r="V31" s="673">
        <f t="shared" si="9"/>
        <v>0</v>
      </c>
      <c r="W31" s="77">
        <f t="shared" si="1"/>
        <v>0</v>
      </c>
      <c r="X31" s="43">
        <f t="shared" si="2"/>
        <v>0</v>
      </c>
      <c r="Y31" s="89">
        <f t="shared" si="3"/>
        <v>0</v>
      </c>
    </row>
    <row r="32" spans="1:25" x14ac:dyDescent="0.25">
      <c r="A32" s="278" t="s">
        <v>572</v>
      </c>
      <c r="B32" s="46"/>
      <c r="C32" s="1318">
        <v>5000</v>
      </c>
      <c r="D32" s="421"/>
      <c r="E32" s="677">
        <f t="shared" si="4"/>
        <v>5000</v>
      </c>
      <c r="F32" s="677">
        <f t="shared" si="5"/>
        <v>3333.3333333333335</v>
      </c>
      <c r="G32" s="677">
        <f t="shared" si="6"/>
        <v>416.66666666666669</v>
      </c>
      <c r="H32" s="718">
        <f t="shared" si="7"/>
        <v>3750</v>
      </c>
      <c r="I32" s="90"/>
      <c r="J32" s="90"/>
      <c r="K32" s="90"/>
      <c r="L32" s="90"/>
      <c r="M32" s="48"/>
      <c r="N32" s="48"/>
      <c r="O32" s="48"/>
      <c r="P32" s="48"/>
      <c r="Q32" s="48"/>
      <c r="R32" s="48"/>
      <c r="S32" s="48"/>
      <c r="T32" s="48"/>
      <c r="U32" s="673">
        <f t="shared" si="8"/>
        <v>0</v>
      </c>
      <c r="V32" s="673">
        <f t="shared" si="9"/>
        <v>0</v>
      </c>
      <c r="W32" s="77">
        <f t="shared" si="1"/>
        <v>0</v>
      </c>
      <c r="X32" s="43">
        <f t="shared" si="2"/>
        <v>3750</v>
      </c>
      <c r="Y32" s="89">
        <f t="shared" si="3"/>
        <v>5000</v>
      </c>
    </row>
    <row r="33" spans="1:25" x14ac:dyDescent="0.25">
      <c r="A33" s="61" t="s">
        <v>573</v>
      </c>
      <c r="B33" s="46" t="s">
        <v>104</v>
      </c>
      <c r="C33" s="1318"/>
      <c r="D33" s="421"/>
      <c r="E33" s="677">
        <f t="shared" si="4"/>
        <v>0</v>
      </c>
      <c r="F33" s="677">
        <f t="shared" si="5"/>
        <v>0</v>
      </c>
      <c r="G33" s="677">
        <f t="shared" si="6"/>
        <v>0</v>
      </c>
      <c r="H33" s="718">
        <f t="shared" si="7"/>
        <v>0</v>
      </c>
      <c r="I33" s="90"/>
      <c r="J33" s="90"/>
      <c r="K33" s="90"/>
      <c r="L33" s="90"/>
      <c r="M33" s="48"/>
      <c r="N33" s="48"/>
      <c r="O33" s="48"/>
      <c r="P33" s="48"/>
      <c r="Q33" s="48"/>
      <c r="R33" s="48"/>
      <c r="S33" s="48"/>
      <c r="T33" s="48"/>
      <c r="U33" s="673">
        <f t="shared" si="8"/>
        <v>0</v>
      </c>
      <c r="V33" s="673">
        <f t="shared" si="9"/>
        <v>0</v>
      </c>
      <c r="W33" s="77">
        <f t="shared" si="1"/>
        <v>0</v>
      </c>
      <c r="X33" s="43">
        <f t="shared" si="2"/>
        <v>0</v>
      </c>
      <c r="Y33" s="89">
        <f t="shared" si="3"/>
        <v>0</v>
      </c>
    </row>
    <row r="34" spans="1:25" x14ac:dyDescent="0.25">
      <c r="A34" s="278" t="s">
        <v>577</v>
      </c>
      <c r="B34" s="46"/>
      <c r="C34" s="1318">
        <v>8000</v>
      </c>
      <c r="D34" s="421"/>
      <c r="E34" s="677">
        <f t="shared" si="4"/>
        <v>8000</v>
      </c>
      <c r="F34" s="677">
        <f t="shared" si="5"/>
        <v>5333.333333333333</v>
      </c>
      <c r="G34" s="677">
        <f t="shared" si="6"/>
        <v>666.66666666666663</v>
      </c>
      <c r="H34" s="718">
        <f t="shared" si="7"/>
        <v>6000</v>
      </c>
      <c r="I34" s="90"/>
      <c r="J34" s="90"/>
      <c r="K34" s="90"/>
      <c r="L34" s="90"/>
      <c r="M34" s="48"/>
      <c r="N34" s="48"/>
      <c r="O34" s="48"/>
      <c r="P34" s="48"/>
      <c r="Q34" s="48"/>
      <c r="R34" s="48"/>
      <c r="S34" s="48"/>
      <c r="T34" s="48"/>
      <c r="U34" s="673">
        <f t="shared" si="8"/>
        <v>0</v>
      </c>
      <c r="V34" s="673">
        <f t="shared" si="9"/>
        <v>0</v>
      </c>
      <c r="W34" s="77">
        <f t="shared" si="1"/>
        <v>0</v>
      </c>
      <c r="X34" s="43">
        <f t="shared" si="2"/>
        <v>6000</v>
      </c>
      <c r="Y34" s="89">
        <f t="shared" si="3"/>
        <v>8000</v>
      </c>
    </row>
    <row r="35" spans="1:25" x14ac:dyDescent="0.25">
      <c r="A35" s="350" t="s">
        <v>578</v>
      </c>
      <c r="B35" s="46"/>
      <c r="C35" s="232"/>
      <c r="D35" s="217"/>
      <c r="E35" s="677">
        <f t="shared" si="4"/>
        <v>0</v>
      </c>
      <c r="F35" s="677">
        <f t="shared" si="5"/>
        <v>0</v>
      </c>
      <c r="G35" s="677">
        <f t="shared" si="6"/>
        <v>0</v>
      </c>
      <c r="H35" s="718">
        <f t="shared" si="7"/>
        <v>0</v>
      </c>
      <c r="I35" s="90"/>
      <c r="J35" s="90"/>
      <c r="K35" s="90"/>
      <c r="L35" s="90"/>
      <c r="M35" s="48"/>
      <c r="N35" s="48"/>
      <c r="O35" s="48"/>
      <c r="P35" s="48"/>
      <c r="Q35" s="48"/>
      <c r="R35" s="48"/>
      <c r="S35" s="48"/>
      <c r="T35" s="48"/>
      <c r="U35" s="673">
        <f t="shared" si="8"/>
        <v>0</v>
      </c>
      <c r="V35" s="673">
        <f t="shared" si="9"/>
        <v>0</v>
      </c>
      <c r="W35" s="77">
        <f t="shared" si="1"/>
        <v>0</v>
      </c>
      <c r="X35" s="43">
        <f t="shared" si="2"/>
        <v>0</v>
      </c>
      <c r="Y35" s="89">
        <f t="shared" si="3"/>
        <v>0</v>
      </c>
    </row>
    <row r="36" spans="1:25" x14ac:dyDescent="0.25">
      <c r="A36" s="350" t="s">
        <v>579</v>
      </c>
      <c r="B36" s="46"/>
      <c r="C36" s="232"/>
      <c r="D36" s="217"/>
      <c r="E36" s="677">
        <f t="shared" si="4"/>
        <v>0</v>
      </c>
      <c r="F36" s="677">
        <f t="shared" si="5"/>
        <v>0</v>
      </c>
      <c r="G36" s="677">
        <f t="shared" si="6"/>
        <v>0</v>
      </c>
      <c r="H36" s="718">
        <f t="shared" si="7"/>
        <v>0</v>
      </c>
      <c r="I36" s="90"/>
      <c r="J36" s="90"/>
      <c r="K36" s="90"/>
      <c r="L36" s="90"/>
      <c r="M36" s="48"/>
      <c r="N36" s="48"/>
      <c r="O36" s="48"/>
      <c r="P36" s="48"/>
      <c r="Q36" s="48"/>
      <c r="R36" s="48"/>
      <c r="S36" s="48"/>
      <c r="T36" s="48"/>
      <c r="U36" s="673">
        <f t="shared" si="8"/>
        <v>0</v>
      </c>
      <c r="V36" s="673">
        <f t="shared" si="9"/>
        <v>0</v>
      </c>
      <c r="W36" s="77">
        <f t="shared" si="1"/>
        <v>0</v>
      </c>
      <c r="X36" s="43">
        <f t="shared" si="2"/>
        <v>0</v>
      </c>
      <c r="Y36" s="89">
        <f t="shared" si="3"/>
        <v>0</v>
      </c>
    </row>
    <row r="37" spans="1:25" x14ac:dyDescent="0.25">
      <c r="A37" s="126" t="s">
        <v>580</v>
      </c>
      <c r="B37" s="231"/>
      <c r="C37" s="232"/>
      <c r="D37" s="217"/>
      <c r="E37" s="677">
        <f t="shared" si="4"/>
        <v>0</v>
      </c>
      <c r="F37" s="677">
        <f t="shared" si="5"/>
        <v>0</v>
      </c>
      <c r="G37" s="677">
        <f t="shared" si="6"/>
        <v>0</v>
      </c>
      <c r="H37" s="718">
        <f t="shared" si="7"/>
        <v>0</v>
      </c>
      <c r="I37" s="90"/>
      <c r="J37" s="90"/>
      <c r="K37" s="90"/>
      <c r="L37" s="90"/>
      <c r="M37" s="48"/>
      <c r="N37" s="48"/>
      <c r="O37" s="48"/>
      <c r="P37" s="48"/>
      <c r="Q37" s="48"/>
      <c r="R37" s="48"/>
      <c r="S37" s="48"/>
      <c r="T37" s="48"/>
      <c r="U37" s="673">
        <f t="shared" si="8"/>
        <v>0</v>
      </c>
      <c r="V37" s="673">
        <f t="shared" si="9"/>
        <v>0</v>
      </c>
      <c r="W37" s="77">
        <f t="shared" si="1"/>
        <v>0</v>
      </c>
      <c r="X37" s="43">
        <f t="shared" si="2"/>
        <v>0</v>
      </c>
      <c r="Y37" s="89">
        <f t="shared" si="3"/>
        <v>0</v>
      </c>
    </row>
    <row r="38" spans="1:25" x14ac:dyDescent="0.25">
      <c r="A38" s="284" t="s">
        <v>581</v>
      </c>
      <c r="B38" s="424"/>
      <c r="C38" s="1319"/>
      <c r="D38" s="422"/>
      <c r="E38" s="677">
        <f t="shared" si="4"/>
        <v>0</v>
      </c>
      <c r="F38" s="677">
        <f t="shared" si="5"/>
        <v>0</v>
      </c>
      <c r="G38" s="677">
        <f t="shared" si="6"/>
        <v>0</v>
      </c>
      <c r="H38" s="718">
        <f t="shared" si="7"/>
        <v>0</v>
      </c>
      <c r="I38" s="90"/>
      <c r="J38" s="90"/>
      <c r="K38" s="90"/>
      <c r="L38" s="90"/>
      <c r="M38" s="48"/>
      <c r="N38" s="48"/>
      <c r="O38" s="48"/>
      <c r="P38" s="48"/>
      <c r="Q38" s="48"/>
      <c r="R38" s="48"/>
      <c r="S38" s="48"/>
      <c r="T38" s="48"/>
      <c r="U38" s="673">
        <f t="shared" si="8"/>
        <v>0</v>
      </c>
      <c r="V38" s="673">
        <f t="shared" si="9"/>
        <v>0</v>
      </c>
      <c r="W38" s="77">
        <f t="shared" si="1"/>
        <v>0</v>
      </c>
      <c r="X38" s="43">
        <f t="shared" si="2"/>
        <v>0</v>
      </c>
      <c r="Y38" s="89">
        <f t="shared" si="3"/>
        <v>0</v>
      </c>
    </row>
    <row r="39" spans="1:25" x14ac:dyDescent="0.25">
      <c r="A39" s="276" t="s">
        <v>542</v>
      </c>
      <c r="B39" s="46" t="s">
        <v>150</v>
      </c>
      <c r="C39" s="1318"/>
      <c r="D39" s="421"/>
      <c r="E39" s="677">
        <f t="shared" si="4"/>
        <v>0</v>
      </c>
      <c r="F39" s="677">
        <f t="shared" si="5"/>
        <v>0</v>
      </c>
      <c r="G39" s="677">
        <f t="shared" si="6"/>
        <v>0</v>
      </c>
      <c r="H39" s="718">
        <f t="shared" si="7"/>
        <v>0</v>
      </c>
      <c r="I39" s="90"/>
      <c r="J39" s="90"/>
      <c r="K39" s="90"/>
      <c r="L39" s="90"/>
      <c r="M39" s="48"/>
      <c r="N39" s="48"/>
      <c r="O39" s="48"/>
      <c r="P39" s="48"/>
      <c r="Q39" s="48"/>
      <c r="R39" s="48"/>
      <c r="S39" s="48"/>
      <c r="T39" s="48"/>
      <c r="U39" s="673">
        <f t="shared" si="8"/>
        <v>0</v>
      </c>
      <c r="V39" s="673">
        <f t="shared" si="9"/>
        <v>0</v>
      </c>
      <c r="W39" s="77">
        <f t="shared" si="1"/>
        <v>0</v>
      </c>
      <c r="X39" s="43">
        <f t="shared" si="2"/>
        <v>0</v>
      </c>
      <c r="Y39" s="89">
        <f t="shared" si="3"/>
        <v>0</v>
      </c>
    </row>
    <row r="40" spans="1:25" ht="38.25" x14ac:dyDescent="0.25">
      <c r="A40" s="416" t="s">
        <v>582</v>
      </c>
      <c r="B40" s="46"/>
      <c r="C40" s="1320">
        <v>50000</v>
      </c>
      <c r="D40" s="423">
        <f>-50000</f>
        <v>-50000</v>
      </c>
      <c r="E40" s="677">
        <f t="shared" si="4"/>
        <v>0</v>
      </c>
      <c r="F40" s="677">
        <f t="shared" si="5"/>
        <v>0</v>
      </c>
      <c r="G40" s="677">
        <f t="shared" si="6"/>
        <v>0</v>
      </c>
      <c r="H40" s="718">
        <f t="shared" si="7"/>
        <v>0</v>
      </c>
      <c r="I40" s="90"/>
      <c r="J40" s="90"/>
      <c r="K40" s="90"/>
      <c r="L40" s="90"/>
      <c r="M40" s="48"/>
      <c r="N40" s="48"/>
      <c r="O40" s="48"/>
      <c r="P40" s="48"/>
      <c r="Q40" s="48"/>
      <c r="R40" s="48"/>
      <c r="S40" s="48"/>
      <c r="T40" s="48"/>
      <c r="U40" s="673">
        <f t="shared" si="8"/>
        <v>0</v>
      </c>
      <c r="V40" s="673">
        <f t="shared" si="9"/>
        <v>0</v>
      </c>
      <c r="W40" s="77">
        <f t="shared" si="1"/>
        <v>0</v>
      </c>
      <c r="X40" s="43">
        <f t="shared" si="2"/>
        <v>0</v>
      </c>
      <c r="Y40" s="89">
        <f t="shared" si="3"/>
        <v>0</v>
      </c>
    </row>
    <row r="41" spans="1:25" x14ac:dyDescent="0.25">
      <c r="A41" s="162" t="s">
        <v>583</v>
      </c>
      <c r="B41" s="425" t="s">
        <v>600</v>
      </c>
      <c r="C41" s="1318">
        <v>70000</v>
      </c>
      <c r="D41" s="421">
        <f>-70000</f>
        <v>-70000</v>
      </c>
      <c r="E41" s="677">
        <f t="shared" si="4"/>
        <v>0</v>
      </c>
      <c r="F41" s="677">
        <f t="shared" si="5"/>
        <v>0</v>
      </c>
      <c r="G41" s="677">
        <f t="shared" si="6"/>
        <v>0</v>
      </c>
      <c r="H41" s="718">
        <f t="shared" si="7"/>
        <v>0</v>
      </c>
      <c r="I41" s="90"/>
      <c r="J41" s="90"/>
      <c r="K41" s="90"/>
      <c r="L41" s="90"/>
      <c r="M41" s="48"/>
      <c r="N41" s="48"/>
      <c r="O41" s="48"/>
      <c r="P41" s="48"/>
      <c r="Q41" s="48"/>
      <c r="R41" s="48"/>
      <c r="S41" s="48"/>
      <c r="T41" s="48"/>
      <c r="U41" s="673">
        <f t="shared" si="8"/>
        <v>0</v>
      </c>
      <c r="V41" s="673">
        <f t="shared" si="9"/>
        <v>0</v>
      </c>
      <c r="W41" s="77">
        <f t="shared" si="1"/>
        <v>0</v>
      </c>
      <c r="X41" s="43">
        <f t="shared" si="2"/>
        <v>0</v>
      </c>
      <c r="Y41" s="89">
        <f t="shared" si="3"/>
        <v>0</v>
      </c>
    </row>
    <row r="42" spans="1:25" x14ac:dyDescent="0.25">
      <c r="A42" s="276" t="s">
        <v>227</v>
      </c>
      <c r="B42" s="46" t="s">
        <v>153</v>
      </c>
      <c r="C42" s="1318">
        <v>14000</v>
      </c>
      <c r="D42" s="421">
        <f>-14000</f>
        <v>-14000</v>
      </c>
      <c r="E42" s="677">
        <f t="shared" si="4"/>
        <v>0</v>
      </c>
      <c r="F42" s="677">
        <f t="shared" si="5"/>
        <v>0</v>
      </c>
      <c r="G42" s="677">
        <f t="shared" si="6"/>
        <v>0</v>
      </c>
      <c r="H42" s="718">
        <f t="shared" si="7"/>
        <v>0</v>
      </c>
      <c r="I42" s="90"/>
      <c r="J42" s="90"/>
      <c r="K42" s="90"/>
      <c r="L42" s="90"/>
      <c r="M42" s="48"/>
      <c r="N42" s="48"/>
      <c r="O42" s="48"/>
      <c r="P42" s="48"/>
      <c r="Q42" s="48"/>
      <c r="R42" s="48"/>
      <c r="S42" s="48"/>
      <c r="T42" s="48"/>
      <c r="U42" s="673">
        <f t="shared" si="8"/>
        <v>0</v>
      </c>
      <c r="V42" s="673">
        <f t="shared" si="9"/>
        <v>0</v>
      </c>
      <c r="W42" s="77">
        <f t="shared" si="1"/>
        <v>0</v>
      </c>
      <c r="X42" s="43">
        <f t="shared" si="2"/>
        <v>0</v>
      </c>
      <c r="Y42" s="89">
        <f t="shared" si="3"/>
        <v>0</v>
      </c>
    </row>
    <row r="43" spans="1:25" x14ac:dyDescent="0.25">
      <c r="A43" s="276" t="s">
        <v>69</v>
      </c>
      <c r="B43" s="46" t="s">
        <v>70</v>
      </c>
      <c r="C43" s="1318"/>
      <c r="D43" s="421"/>
      <c r="E43" s="677">
        <f t="shared" si="4"/>
        <v>0</v>
      </c>
      <c r="F43" s="677">
        <f t="shared" si="5"/>
        <v>0</v>
      </c>
      <c r="G43" s="677">
        <f t="shared" si="6"/>
        <v>0</v>
      </c>
      <c r="H43" s="718">
        <f t="shared" si="7"/>
        <v>0</v>
      </c>
      <c r="I43" s="90"/>
      <c r="J43" s="90"/>
      <c r="K43" s="90"/>
      <c r="L43" s="90"/>
      <c r="M43" s="48"/>
      <c r="N43" s="48"/>
      <c r="O43" s="48"/>
      <c r="P43" s="48"/>
      <c r="Q43" s="48"/>
      <c r="R43" s="48"/>
      <c r="S43" s="48"/>
      <c r="T43" s="48"/>
      <c r="U43" s="673">
        <f t="shared" si="8"/>
        <v>0</v>
      </c>
      <c r="V43" s="673">
        <f t="shared" si="9"/>
        <v>0</v>
      </c>
      <c r="W43" s="77">
        <f t="shared" si="1"/>
        <v>0</v>
      </c>
      <c r="X43" s="43">
        <f t="shared" si="2"/>
        <v>0</v>
      </c>
      <c r="Y43" s="89">
        <f t="shared" si="3"/>
        <v>0</v>
      </c>
    </row>
    <row r="44" spans="1:25" x14ac:dyDescent="0.25">
      <c r="A44" s="417" t="s">
        <v>584</v>
      </c>
      <c r="B44" s="46"/>
      <c r="C44" s="1318">
        <v>20000</v>
      </c>
      <c r="D44" s="421">
        <f>-20000</f>
        <v>-20000</v>
      </c>
      <c r="E44" s="677">
        <f t="shared" si="4"/>
        <v>0</v>
      </c>
      <c r="F44" s="677">
        <f t="shared" si="5"/>
        <v>0</v>
      </c>
      <c r="G44" s="677">
        <f t="shared" si="6"/>
        <v>0</v>
      </c>
      <c r="H44" s="718">
        <f t="shared" si="7"/>
        <v>0</v>
      </c>
      <c r="I44" s="90"/>
      <c r="J44" s="90"/>
      <c r="K44" s="90"/>
      <c r="L44" s="90"/>
      <c r="M44" s="48"/>
      <c r="N44" s="48"/>
      <c r="O44" s="48"/>
      <c r="P44" s="48"/>
      <c r="Q44" s="48"/>
      <c r="R44" s="48"/>
      <c r="S44" s="48"/>
      <c r="T44" s="48"/>
      <c r="U44" s="673">
        <f t="shared" si="8"/>
        <v>0</v>
      </c>
      <c r="V44" s="673">
        <f t="shared" si="9"/>
        <v>0</v>
      </c>
      <c r="W44" s="77">
        <f t="shared" si="1"/>
        <v>0</v>
      </c>
      <c r="X44" s="43">
        <f t="shared" si="2"/>
        <v>0</v>
      </c>
      <c r="Y44" s="89">
        <f t="shared" si="3"/>
        <v>0</v>
      </c>
    </row>
    <row r="45" spans="1:25" x14ac:dyDescent="0.25">
      <c r="A45" s="417" t="s">
        <v>585</v>
      </c>
      <c r="B45" s="46"/>
      <c r="C45" s="1318">
        <v>60000</v>
      </c>
      <c r="D45" s="421">
        <f>-60000</f>
        <v>-60000</v>
      </c>
      <c r="E45" s="677">
        <f t="shared" si="4"/>
        <v>0</v>
      </c>
      <c r="F45" s="677">
        <f t="shared" si="5"/>
        <v>0</v>
      </c>
      <c r="G45" s="677">
        <f t="shared" si="6"/>
        <v>0</v>
      </c>
      <c r="H45" s="718">
        <f t="shared" si="7"/>
        <v>0</v>
      </c>
      <c r="I45" s="90"/>
      <c r="J45" s="90"/>
      <c r="K45" s="90"/>
      <c r="L45" s="90"/>
      <c r="M45" s="48"/>
      <c r="N45" s="48"/>
      <c r="O45" s="48"/>
      <c r="P45" s="48"/>
      <c r="Q45" s="48"/>
      <c r="R45" s="48"/>
      <c r="S45" s="48"/>
      <c r="T45" s="48"/>
      <c r="U45" s="673">
        <f t="shared" si="8"/>
        <v>0</v>
      </c>
      <c r="V45" s="673">
        <f t="shared" si="9"/>
        <v>0</v>
      </c>
      <c r="W45" s="77">
        <f t="shared" si="1"/>
        <v>0</v>
      </c>
      <c r="X45" s="43">
        <f t="shared" si="2"/>
        <v>0</v>
      </c>
      <c r="Y45" s="89">
        <f t="shared" si="3"/>
        <v>0</v>
      </c>
    </row>
    <row r="46" spans="1:25" x14ac:dyDescent="0.25">
      <c r="A46" s="276" t="s">
        <v>84</v>
      </c>
      <c r="B46" s="46" t="s">
        <v>85</v>
      </c>
      <c r="C46" s="1318">
        <v>20000</v>
      </c>
      <c r="D46" s="421">
        <f>-20000</f>
        <v>-20000</v>
      </c>
      <c r="E46" s="677">
        <f t="shared" si="4"/>
        <v>0</v>
      </c>
      <c r="F46" s="677">
        <f t="shared" si="5"/>
        <v>0</v>
      </c>
      <c r="G46" s="677">
        <f t="shared" si="6"/>
        <v>0</v>
      </c>
      <c r="H46" s="718">
        <f t="shared" si="7"/>
        <v>0</v>
      </c>
      <c r="I46" s="90"/>
      <c r="J46" s="90"/>
      <c r="K46" s="90"/>
      <c r="L46" s="90"/>
      <c r="M46" s="48"/>
      <c r="N46" s="48"/>
      <c r="O46" s="48"/>
      <c r="P46" s="48"/>
      <c r="Q46" s="48"/>
      <c r="R46" s="48"/>
      <c r="S46" s="48"/>
      <c r="T46" s="48"/>
      <c r="U46" s="673">
        <f t="shared" si="8"/>
        <v>0</v>
      </c>
      <c r="V46" s="673">
        <f t="shared" si="9"/>
        <v>0</v>
      </c>
      <c r="W46" s="77">
        <f t="shared" si="1"/>
        <v>0</v>
      </c>
      <c r="X46" s="43">
        <f t="shared" si="2"/>
        <v>0</v>
      </c>
      <c r="Y46" s="89">
        <f t="shared" si="3"/>
        <v>0</v>
      </c>
    </row>
    <row r="47" spans="1:25" x14ac:dyDescent="0.25">
      <c r="A47" s="179" t="s">
        <v>86</v>
      </c>
      <c r="B47" s="46" t="s">
        <v>87</v>
      </c>
      <c r="C47" s="1318">
        <v>10000</v>
      </c>
      <c r="D47" s="421">
        <f>-10000</f>
        <v>-10000</v>
      </c>
      <c r="E47" s="677">
        <f t="shared" si="4"/>
        <v>0</v>
      </c>
      <c r="F47" s="677">
        <f t="shared" si="5"/>
        <v>0</v>
      </c>
      <c r="G47" s="677">
        <f t="shared" si="6"/>
        <v>0</v>
      </c>
      <c r="H47" s="718">
        <f t="shared" si="7"/>
        <v>0</v>
      </c>
      <c r="I47" s="90"/>
      <c r="J47" s="90"/>
      <c r="K47" s="90"/>
      <c r="L47" s="90"/>
      <c r="M47" s="48"/>
      <c r="N47" s="48"/>
      <c r="O47" s="48"/>
      <c r="P47" s="48"/>
      <c r="Q47" s="48"/>
      <c r="R47" s="48"/>
      <c r="S47" s="48"/>
      <c r="T47" s="48"/>
      <c r="U47" s="673">
        <f t="shared" si="8"/>
        <v>0</v>
      </c>
      <c r="V47" s="673">
        <f t="shared" si="9"/>
        <v>0</v>
      </c>
      <c r="W47" s="77">
        <f t="shared" si="1"/>
        <v>0</v>
      </c>
      <c r="X47" s="43">
        <f t="shared" si="2"/>
        <v>0</v>
      </c>
      <c r="Y47" s="89">
        <f t="shared" si="3"/>
        <v>0</v>
      </c>
    </row>
    <row r="48" spans="1:25" x14ac:dyDescent="0.25">
      <c r="A48" s="276" t="s">
        <v>586</v>
      </c>
      <c r="B48" s="114" t="s">
        <v>93</v>
      </c>
      <c r="C48" s="1318">
        <v>50000</v>
      </c>
      <c r="D48" s="421">
        <f>-50000</f>
        <v>-50000</v>
      </c>
      <c r="E48" s="677">
        <f t="shared" si="4"/>
        <v>0</v>
      </c>
      <c r="F48" s="677">
        <f t="shared" si="5"/>
        <v>0</v>
      </c>
      <c r="G48" s="677">
        <f t="shared" si="6"/>
        <v>0</v>
      </c>
      <c r="H48" s="718">
        <f t="shared" si="7"/>
        <v>0</v>
      </c>
      <c r="I48" s="90"/>
      <c r="J48" s="90"/>
      <c r="K48" s="90"/>
      <c r="L48" s="90"/>
      <c r="M48" s="48"/>
      <c r="N48" s="48"/>
      <c r="O48" s="48"/>
      <c r="P48" s="48"/>
      <c r="Q48" s="48"/>
      <c r="R48" s="48"/>
      <c r="S48" s="48"/>
      <c r="T48" s="48"/>
      <c r="U48" s="673">
        <f t="shared" si="8"/>
        <v>0</v>
      </c>
      <c r="V48" s="673">
        <f t="shared" si="9"/>
        <v>0</v>
      </c>
      <c r="W48" s="77">
        <f t="shared" si="1"/>
        <v>0</v>
      </c>
      <c r="X48" s="43">
        <f t="shared" si="2"/>
        <v>0</v>
      </c>
      <c r="Y48" s="89">
        <f t="shared" si="3"/>
        <v>0</v>
      </c>
    </row>
    <row r="49" spans="1:25" x14ac:dyDescent="0.25">
      <c r="A49" s="417" t="s">
        <v>587</v>
      </c>
      <c r="B49" s="46"/>
      <c r="C49" s="1318">
        <v>25000</v>
      </c>
      <c r="D49" s="421">
        <f>-25000</f>
        <v>-25000</v>
      </c>
      <c r="E49" s="677">
        <f t="shared" si="4"/>
        <v>0</v>
      </c>
      <c r="F49" s="677">
        <f t="shared" si="5"/>
        <v>0</v>
      </c>
      <c r="G49" s="677">
        <f t="shared" si="6"/>
        <v>0</v>
      </c>
      <c r="H49" s="718">
        <f t="shared" si="7"/>
        <v>0</v>
      </c>
      <c r="I49" s="90"/>
      <c r="J49" s="90"/>
      <c r="K49" s="90"/>
      <c r="L49" s="90"/>
      <c r="M49" s="48"/>
      <c r="N49" s="48"/>
      <c r="O49" s="48"/>
      <c r="P49" s="48"/>
      <c r="Q49" s="48"/>
      <c r="R49" s="48"/>
      <c r="S49" s="48"/>
      <c r="T49" s="48"/>
      <c r="U49" s="673">
        <f t="shared" si="8"/>
        <v>0</v>
      </c>
      <c r="V49" s="673">
        <f t="shared" si="9"/>
        <v>0</v>
      </c>
      <c r="W49" s="77">
        <f t="shared" si="1"/>
        <v>0</v>
      </c>
      <c r="X49" s="43">
        <f t="shared" si="2"/>
        <v>0</v>
      </c>
      <c r="Y49" s="89">
        <f t="shared" si="3"/>
        <v>0</v>
      </c>
    </row>
    <row r="50" spans="1:25" x14ac:dyDescent="0.25">
      <c r="A50" s="417" t="s">
        <v>588</v>
      </c>
      <c r="B50" s="46"/>
      <c r="C50" s="1318">
        <v>70000</v>
      </c>
      <c r="D50" s="421">
        <f>-70000</f>
        <v>-70000</v>
      </c>
      <c r="E50" s="677">
        <f t="shared" si="4"/>
        <v>0</v>
      </c>
      <c r="F50" s="677">
        <f t="shared" si="5"/>
        <v>0</v>
      </c>
      <c r="G50" s="677">
        <f t="shared" si="6"/>
        <v>0</v>
      </c>
      <c r="H50" s="718">
        <f t="shared" si="7"/>
        <v>0</v>
      </c>
      <c r="I50" s="90"/>
      <c r="J50" s="90"/>
      <c r="K50" s="90"/>
      <c r="L50" s="90"/>
      <c r="M50" s="48"/>
      <c r="N50" s="48"/>
      <c r="O50" s="48"/>
      <c r="P50" s="48"/>
      <c r="Q50" s="48"/>
      <c r="R50" s="48"/>
      <c r="S50" s="48"/>
      <c r="T50" s="48"/>
      <c r="U50" s="673">
        <f t="shared" si="8"/>
        <v>0</v>
      </c>
      <c r="V50" s="673">
        <f t="shared" si="9"/>
        <v>0</v>
      </c>
      <c r="W50" s="77">
        <f t="shared" si="1"/>
        <v>0</v>
      </c>
      <c r="X50" s="43">
        <f t="shared" si="2"/>
        <v>0</v>
      </c>
      <c r="Y50" s="89">
        <f t="shared" si="3"/>
        <v>0</v>
      </c>
    </row>
    <row r="51" spans="1:25" x14ac:dyDescent="0.25">
      <c r="A51" s="284" t="s">
        <v>589</v>
      </c>
      <c r="B51" s="46"/>
      <c r="C51" s="232"/>
      <c r="D51" s="217"/>
      <c r="E51" s="677">
        <f t="shared" si="4"/>
        <v>0</v>
      </c>
      <c r="F51" s="677">
        <f t="shared" si="5"/>
        <v>0</v>
      </c>
      <c r="G51" s="677">
        <f t="shared" si="6"/>
        <v>0</v>
      </c>
      <c r="H51" s="718">
        <f t="shared" si="7"/>
        <v>0</v>
      </c>
      <c r="I51" s="90"/>
      <c r="J51" s="90"/>
      <c r="K51" s="90"/>
      <c r="L51" s="90"/>
      <c r="M51" s="48"/>
      <c r="N51" s="48"/>
      <c r="O51" s="48"/>
      <c r="P51" s="48"/>
      <c r="Q51" s="48"/>
      <c r="R51" s="48"/>
      <c r="S51" s="48"/>
      <c r="T51" s="48"/>
      <c r="U51" s="673">
        <f t="shared" si="8"/>
        <v>0</v>
      </c>
      <c r="V51" s="673">
        <f t="shared" si="9"/>
        <v>0</v>
      </c>
      <c r="W51" s="77">
        <f t="shared" si="1"/>
        <v>0</v>
      </c>
      <c r="X51" s="43">
        <f t="shared" si="2"/>
        <v>0</v>
      </c>
      <c r="Y51" s="89">
        <f t="shared" si="3"/>
        <v>0</v>
      </c>
    </row>
    <row r="52" spans="1:25" x14ac:dyDescent="0.25">
      <c r="A52" s="276" t="s">
        <v>542</v>
      </c>
      <c r="B52" s="46" t="s">
        <v>150</v>
      </c>
      <c r="C52" s="1318">
        <v>10000</v>
      </c>
      <c r="D52" s="421"/>
      <c r="E52" s="677">
        <f t="shared" si="4"/>
        <v>10000</v>
      </c>
      <c r="F52" s="677">
        <f t="shared" si="5"/>
        <v>6666.666666666667</v>
      </c>
      <c r="G52" s="677">
        <f t="shared" si="6"/>
        <v>833.33333333333337</v>
      </c>
      <c r="H52" s="718">
        <f t="shared" si="7"/>
        <v>7500</v>
      </c>
      <c r="I52" s="90"/>
      <c r="J52" s="90"/>
      <c r="K52" s="90"/>
      <c r="L52" s="90"/>
      <c r="M52" s="48"/>
      <c r="N52" s="48"/>
      <c r="O52" s="48"/>
      <c r="P52" s="48"/>
      <c r="Q52" s="48"/>
      <c r="R52" s="48"/>
      <c r="S52" s="48"/>
      <c r="T52" s="48"/>
      <c r="U52" s="673">
        <f t="shared" si="8"/>
        <v>0</v>
      </c>
      <c r="V52" s="673">
        <f t="shared" si="9"/>
        <v>0</v>
      </c>
      <c r="W52" s="77">
        <f t="shared" si="1"/>
        <v>0</v>
      </c>
      <c r="X52" s="43">
        <f t="shared" si="2"/>
        <v>7500</v>
      </c>
      <c r="Y52" s="89">
        <f t="shared" si="3"/>
        <v>10000</v>
      </c>
    </row>
    <row r="53" spans="1:25" x14ac:dyDescent="0.25">
      <c r="A53" s="417" t="s">
        <v>590</v>
      </c>
      <c r="B53" s="46"/>
      <c r="C53" s="1318">
        <v>5000</v>
      </c>
      <c r="D53" s="421"/>
      <c r="E53" s="677">
        <f t="shared" si="4"/>
        <v>5000</v>
      </c>
      <c r="F53" s="677">
        <f t="shared" si="5"/>
        <v>3333.3333333333335</v>
      </c>
      <c r="G53" s="677">
        <f t="shared" si="6"/>
        <v>416.66666666666669</v>
      </c>
      <c r="H53" s="718">
        <f t="shared" si="7"/>
        <v>3750</v>
      </c>
      <c r="I53" s="90"/>
      <c r="J53" s="90"/>
      <c r="K53" s="90"/>
      <c r="L53" s="90"/>
      <c r="M53" s="48"/>
      <c r="N53" s="48"/>
      <c r="O53" s="48"/>
      <c r="P53" s="48"/>
      <c r="Q53" s="48"/>
      <c r="R53" s="48"/>
      <c r="S53" s="48"/>
      <c r="T53" s="48"/>
      <c r="U53" s="673">
        <f t="shared" si="8"/>
        <v>0</v>
      </c>
      <c r="V53" s="673">
        <f t="shared" si="9"/>
        <v>0</v>
      </c>
      <c r="W53" s="77">
        <f t="shared" si="1"/>
        <v>0</v>
      </c>
      <c r="X53" s="43">
        <f t="shared" si="2"/>
        <v>3750</v>
      </c>
      <c r="Y53" s="89">
        <f t="shared" si="3"/>
        <v>5000</v>
      </c>
    </row>
    <row r="54" spans="1:25" x14ac:dyDescent="0.25">
      <c r="A54" s="276" t="s">
        <v>583</v>
      </c>
      <c r="B54" s="425" t="s">
        <v>600</v>
      </c>
      <c r="C54" s="1318">
        <v>85000</v>
      </c>
      <c r="D54" s="421"/>
      <c r="E54" s="677">
        <f t="shared" si="4"/>
        <v>85000</v>
      </c>
      <c r="F54" s="677">
        <f t="shared" si="5"/>
        <v>56666.666666666664</v>
      </c>
      <c r="G54" s="677">
        <f t="shared" si="6"/>
        <v>7083.333333333333</v>
      </c>
      <c r="H54" s="718">
        <f t="shared" si="7"/>
        <v>63750</v>
      </c>
      <c r="I54" s="90"/>
      <c r="J54" s="90"/>
      <c r="K54" s="90"/>
      <c r="L54" s="90"/>
      <c r="M54" s="48"/>
      <c r="N54" s="48"/>
      <c r="O54" s="48"/>
      <c r="P54" s="48"/>
      <c r="Q54" s="48"/>
      <c r="R54" s="48"/>
      <c r="S54" s="48"/>
      <c r="T54" s="48"/>
      <c r="U54" s="673">
        <f t="shared" si="8"/>
        <v>0</v>
      </c>
      <c r="V54" s="673">
        <f t="shared" si="9"/>
        <v>0</v>
      </c>
      <c r="W54" s="77">
        <f t="shared" si="1"/>
        <v>0</v>
      </c>
      <c r="X54" s="43">
        <f t="shared" si="2"/>
        <v>63750</v>
      </c>
      <c r="Y54" s="89">
        <f t="shared" si="3"/>
        <v>85000</v>
      </c>
    </row>
    <row r="55" spans="1:25" x14ac:dyDescent="0.25">
      <c r="A55" s="276" t="s">
        <v>227</v>
      </c>
      <c r="B55" s="46" t="s">
        <v>153</v>
      </c>
      <c r="C55" s="1318">
        <v>5000</v>
      </c>
      <c r="D55" s="421"/>
      <c r="E55" s="677">
        <f t="shared" si="4"/>
        <v>5000</v>
      </c>
      <c r="F55" s="677">
        <f t="shared" si="5"/>
        <v>3333.3333333333335</v>
      </c>
      <c r="G55" s="677">
        <f t="shared" si="6"/>
        <v>416.66666666666669</v>
      </c>
      <c r="H55" s="718">
        <f t="shared" si="7"/>
        <v>3750</v>
      </c>
      <c r="I55" s="90"/>
      <c r="J55" s="90"/>
      <c r="K55" s="90"/>
      <c r="L55" s="90"/>
      <c r="M55" s="48"/>
      <c r="N55" s="48"/>
      <c r="O55" s="48"/>
      <c r="P55" s="48"/>
      <c r="Q55" s="48"/>
      <c r="R55" s="48"/>
      <c r="S55" s="48"/>
      <c r="T55" s="48"/>
      <c r="U55" s="673">
        <f t="shared" si="8"/>
        <v>0</v>
      </c>
      <c r="V55" s="673">
        <f t="shared" si="9"/>
        <v>0</v>
      </c>
      <c r="W55" s="77">
        <f t="shared" si="1"/>
        <v>0</v>
      </c>
      <c r="X55" s="43">
        <f t="shared" si="2"/>
        <v>3750</v>
      </c>
      <c r="Y55" s="89">
        <f t="shared" si="3"/>
        <v>5000</v>
      </c>
    </row>
    <row r="56" spans="1:25" x14ac:dyDescent="0.25">
      <c r="A56" s="276" t="s">
        <v>69</v>
      </c>
      <c r="B56" s="46" t="s">
        <v>70</v>
      </c>
      <c r="C56" s="1318"/>
      <c r="D56" s="421"/>
      <c r="E56" s="677">
        <f t="shared" si="4"/>
        <v>0</v>
      </c>
      <c r="F56" s="677">
        <f t="shared" si="5"/>
        <v>0</v>
      </c>
      <c r="G56" s="677">
        <f t="shared" si="6"/>
        <v>0</v>
      </c>
      <c r="H56" s="718">
        <f t="shared" si="7"/>
        <v>0</v>
      </c>
      <c r="I56" s="90"/>
      <c r="J56" s="90"/>
      <c r="K56" s="90"/>
      <c r="L56" s="90"/>
      <c r="M56" s="48"/>
      <c r="N56" s="48"/>
      <c r="O56" s="48"/>
      <c r="P56" s="48"/>
      <c r="Q56" s="48"/>
      <c r="R56" s="48"/>
      <c r="S56" s="48"/>
      <c r="T56" s="48"/>
      <c r="U56" s="673">
        <f t="shared" si="8"/>
        <v>0</v>
      </c>
      <c r="V56" s="673">
        <f t="shared" si="9"/>
        <v>0</v>
      </c>
      <c r="W56" s="77">
        <f t="shared" si="1"/>
        <v>0</v>
      </c>
      <c r="X56" s="43">
        <f t="shared" si="2"/>
        <v>0</v>
      </c>
      <c r="Y56" s="89">
        <f t="shared" si="3"/>
        <v>0</v>
      </c>
    </row>
    <row r="57" spans="1:25" x14ac:dyDescent="0.25">
      <c r="A57" s="418" t="s">
        <v>591</v>
      </c>
      <c r="B57" s="46"/>
      <c r="C57" s="1318">
        <v>10000</v>
      </c>
      <c r="D57" s="421"/>
      <c r="E57" s="677">
        <f t="shared" si="4"/>
        <v>10000</v>
      </c>
      <c r="F57" s="677">
        <f t="shared" si="5"/>
        <v>6666.666666666667</v>
      </c>
      <c r="G57" s="677">
        <f t="shared" si="6"/>
        <v>833.33333333333337</v>
      </c>
      <c r="H57" s="718">
        <f t="shared" si="7"/>
        <v>7500</v>
      </c>
      <c r="I57" s="90"/>
      <c r="J57" s="90"/>
      <c r="K57" s="90"/>
      <c r="L57" s="90"/>
      <c r="M57" s="48"/>
      <c r="N57" s="48"/>
      <c r="O57" s="48"/>
      <c r="P57" s="48"/>
      <c r="Q57" s="48"/>
      <c r="R57" s="48"/>
      <c r="S57" s="48"/>
      <c r="T57" s="48"/>
      <c r="U57" s="673">
        <f t="shared" si="8"/>
        <v>0</v>
      </c>
      <c r="V57" s="673">
        <f t="shared" si="9"/>
        <v>0</v>
      </c>
      <c r="W57" s="77">
        <f t="shared" si="1"/>
        <v>0</v>
      </c>
      <c r="X57" s="43">
        <f t="shared" si="2"/>
        <v>7500</v>
      </c>
      <c r="Y57" s="89">
        <f t="shared" si="3"/>
        <v>10000</v>
      </c>
    </row>
    <row r="58" spans="1:25" x14ac:dyDescent="0.25">
      <c r="A58" s="179" t="s">
        <v>86</v>
      </c>
      <c r="B58" s="46" t="s">
        <v>87</v>
      </c>
      <c r="C58" s="1318">
        <v>5000</v>
      </c>
      <c r="D58" s="421"/>
      <c r="E58" s="677">
        <f t="shared" si="4"/>
        <v>5000</v>
      </c>
      <c r="F58" s="677">
        <f t="shared" si="5"/>
        <v>3333.3333333333335</v>
      </c>
      <c r="G58" s="677">
        <f t="shared" si="6"/>
        <v>416.66666666666669</v>
      </c>
      <c r="H58" s="718">
        <f t="shared" si="7"/>
        <v>3750</v>
      </c>
      <c r="I58" s="90"/>
      <c r="J58" s="90"/>
      <c r="K58" s="90"/>
      <c r="L58" s="90"/>
      <c r="M58" s="48"/>
      <c r="N58" s="48"/>
      <c r="O58" s="48"/>
      <c r="P58" s="48"/>
      <c r="Q58" s="48"/>
      <c r="R58" s="48"/>
      <c r="S58" s="48"/>
      <c r="T58" s="48"/>
      <c r="U58" s="673">
        <f t="shared" si="8"/>
        <v>0</v>
      </c>
      <c r="V58" s="673">
        <f t="shared" si="9"/>
        <v>0</v>
      </c>
      <c r="W58" s="77">
        <f t="shared" si="1"/>
        <v>0</v>
      </c>
      <c r="X58" s="43">
        <f t="shared" si="2"/>
        <v>3750</v>
      </c>
      <c r="Y58" s="89">
        <f t="shared" si="3"/>
        <v>5000</v>
      </c>
    </row>
    <row r="59" spans="1:25" x14ac:dyDescent="0.25">
      <c r="A59" s="276" t="s">
        <v>253</v>
      </c>
      <c r="B59" s="114" t="s">
        <v>93</v>
      </c>
      <c r="C59" s="1318">
        <v>30000</v>
      </c>
      <c r="D59" s="421"/>
      <c r="E59" s="677">
        <f t="shared" si="4"/>
        <v>30000</v>
      </c>
      <c r="F59" s="677">
        <f t="shared" si="5"/>
        <v>20000</v>
      </c>
      <c r="G59" s="677">
        <f t="shared" si="6"/>
        <v>2500</v>
      </c>
      <c r="H59" s="718">
        <f t="shared" si="7"/>
        <v>22500</v>
      </c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673">
        <f t="shared" si="8"/>
        <v>0</v>
      </c>
      <c r="V59" s="673">
        <f t="shared" si="9"/>
        <v>0</v>
      </c>
      <c r="W59" s="77">
        <f t="shared" si="1"/>
        <v>0</v>
      </c>
      <c r="X59" s="43">
        <f t="shared" si="2"/>
        <v>22500</v>
      </c>
      <c r="Y59" s="89">
        <f t="shared" si="3"/>
        <v>30000</v>
      </c>
    </row>
    <row r="60" spans="1:25" x14ac:dyDescent="0.25">
      <c r="A60" s="417" t="s">
        <v>592</v>
      </c>
      <c r="B60" s="46"/>
      <c r="C60" s="1318">
        <v>50000</v>
      </c>
      <c r="D60" s="421"/>
      <c r="E60" s="677">
        <f t="shared" si="4"/>
        <v>50000</v>
      </c>
      <c r="F60" s="677">
        <f t="shared" si="5"/>
        <v>33333.333333333336</v>
      </c>
      <c r="G60" s="677">
        <f t="shared" si="6"/>
        <v>4166.666666666667</v>
      </c>
      <c r="H60" s="718">
        <f t="shared" si="7"/>
        <v>37500</v>
      </c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673">
        <f t="shared" si="8"/>
        <v>0</v>
      </c>
      <c r="V60" s="673">
        <f t="shared" si="9"/>
        <v>0</v>
      </c>
      <c r="W60" s="77">
        <f t="shared" si="1"/>
        <v>0</v>
      </c>
      <c r="X60" s="43">
        <f t="shared" si="2"/>
        <v>37500</v>
      </c>
      <c r="Y60" s="89">
        <f t="shared" si="3"/>
        <v>50000</v>
      </c>
    </row>
    <row r="61" spans="1:25" x14ac:dyDescent="0.25">
      <c r="A61" s="276" t="s">
        <v>274</v>
      </c>
      <c r="B61" s="46" t="s">
        <v>104</v>
      </c>
      <c r="C61" s="1318"/>
      <c r="D61" s="421"/>
      <c r="E61" s="677">
        <f t="shared" si="4"/>
        <v>0</v>
      </c>
      <c r="F61" s="677">
        <f t="shared" si="5"/>
        <v>0</v>
      </c>
      <c r="G61" s="677">
        <f t="shared" si="6"/>
        <v>0</v>
      </c>
      <c r="H61" s="718">
        <f t="shared" si="7"/>
        <v>0</v>
      </c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673">
        <f t="shared" si="8"/>
        <v>0</v>
      </c>
      <c r="V61" s="673">
        <f t="shared" si="9"/>
        <v>0</v>
      </c>
      <c r="W61" s="77">
        <f t="shared" si="1"/>
        <v>0</v>
      </c>
      <c r="X61" s="43">
        <f t="shared" si="2"/>
        <v>0</v>
      </c>
      <c r="Y61" s="89">
        <f t="shared" si="3"/>
        <v>0</v>
      </c>
    </row>
    <row r="62" spans="1:25" x14ac:dyDescent="0.25">
      <c r="A62" s="403" t="s">
        <v>593</v>
      </c>
      <c r="B62" s="46"/>
      <c r="C62" s="1318">
        <v>240000</v>
      </c>
      <c r="D62" s="421"/>
      <c r="E62" s="677">
        <f t="shared" si="4"/>
        <v>240000</v>
      </c>
      <c r="F62" s="677">
        <f t="shared" si="5"/>
        <v>160000</v>
      </c>
      <c r="G62" s="677">
        <f t="shared" si="6"/>
        <v>20000</v>
      </c>
      <c r="H62" s="718">
        <f t="shared" si="7"/>
        <v>180000</v>
      </c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673">
        <f t="shared" si="8"/>
        <v>0</v>
      </c>
      <c r="V62" s="673">
        <f t="shared" si="9"/>
        <v>0</v>
      </c>
      <c r="W62" s="77">
        <f t="shared" si="1"/>
        <v>0</v>
      </c>
      <c r="X62" s="43">
        <f t="shared" si="2"/>
        <v>180000</v>
      </c>
      <c r="Y62" s="89">
        <f t="shared" si="3"/>
        <v>240000</v>
      </c>
    </row>
    <row r="63" spans="1:25" s="951" customFormat="1" x14ac:dyDescent="0.25">
      <c r="A63" s="284" t="s">
        <v>1359</v>
      </c>
      <c r="B63" s="952"/>
      <c r="C63" s="1318"/>
      <c r="D63" s="421"/>
      <c r="E63" s="677">
        <f t="shared" si="4"/>
        <v>0</v>
      </c>
      <c r="F63" s="677">
        <f t="shared" si="5"/>
        <v>0</v>
      </c>
      <c r="G63" s="677">
        <f t="shared" si="6"/>
        <v>0</v>
      </c>
      <c r="H63" s="718">
        <f t="shared" si="7"/>
        <v>0</v>
      </c>
      <c r="I63" s="869"/>
      <c r="J63" s="869"/>
      <c r="K63" s="869"/>
      <c r="L63" s="869"/>
      <c r="M63" s="869"/>
      <c r="N63" s="869"/>
      <c r="O63" s="869"/>
      <c r="P63" s="869"/>
      <c r="Q63" s="869"/>
      <c r="R63" s="869"/>
      <c r="S63" s="869"/>
      <c r="T63" s="869"/>
      <c r="U63" s="673">
        <f t="shared" si="8"/>
        <v>0</v>
      </c>
      <c r="V63" s="673">
        <f t="shared" si="9"/>
        <v>0</v>
      </c>
      <c r="W63" s="725">
        <f t="shared" ref="W63:W103" si="10">U63+V63</f>
        <v>0</v>
      </c>
      <c r="X63" s="718">
        <f t="shared" ref="X63:X103" si="11">H63-W63</f>
        <v>0</v>
      </c>
      <c r="Y63" s="874">
        <f t="shared" ref="Y63:Y103" si="12">E63-W63</f>
        <v>0</v>
      </c>
    </row>
    <row r="64" spans="1:25" s="951" customFormat="1" x14ac:dyDescent="0.25">
      <c r="A64" s="403" t="s">
        <v>274</v>
      </c>
      <c r="B64" s="952"/>
      <c r="C64" s="1318"/>
      <c r="D64" s="421">
        <f>6400+1600</f>
        <v>8000</v>
      </c>
      <c r="E64" s="677">
        <f t="shared" si="4"/>
        <v>8000</v>
      </c>
      <c r="F64" s="677">
        <f t="shared" si="5"/>
        <v>5333.333333333333</v>
      </c>
      <c r="G64" s="677">
        <f t="shared" si="6"/>
        <v>666.66666666666663</v>
      </c>
      <c r="H64" s="718">
        <f t="shared" si="7"/>
        <v>6000</v>
      </c>
      <c r="I64" s="869"/>
      <c r="J64" s="869"/>
      <c r="K64" s="869"/>
      <c r="L64" s="869"/>
      <c r="M64" s="869"/>
      <c r="N64" s="869"/>
      <c r="O64" s="869"/>
      <c r="P64" s="869"/>
      <c r="Q64" s="869"/>
      <c r="R64" s="869"/>
      <c r="S64" s="869"/>
      <c r="T64" s="869"/>
      <c r="U64" s="673">
        <f t="shared" si="8"/>
        <v>0</v>
      </c>
      <c r="V64" s="673">
        <f t="shared" si="9"/>
        <v>0</v>
      </c>
      <c r="W64" s="725">
        <f t="shared" si="10"/>
        <v>0</v>
      </c>
      <c r="X64" s="718">
        <f t="shared" si="11"/>
        <v>6000</v>
      </c>
      <c r="Y64" s="874">
        <f t="shared" si="12"/>
        <v>8000</v>
      </c>
    </row>
    <row r="65" spans="1:25" s="951" customFormat="1" x14ac:dyDescent="0.25">
      <c r="A65" s="403" t="s">
        <v>542</v>
      </c>
      <c r="B65" s="952"/>
      <c r="C65" s="1318"/>
      <c r="D65" s="421">
        <f>7000</f>
        <v>7000</v>
      </c>
      <c r="E65" s="677">
        <f t="shared" si="4"/>
        <v>7000</v>
      </c>
      <c r="F65" s="677">
        <f t="shared" si="5"/>
        <v>4666.666666666667</v>
      </c>
      <c r="G65" s="677">
        <f t="shared" si="6"/>
        <v>583.33333333333337</v>
      </c>
      <c r="H65" s="718">
        <f t="shared" si="7"/>
        <v>5250</v>
      </c>
      <c r="I65" s="869"/>
      <c r="J65" s="869"/>
      <c r="K65" s="869"/>
      <c r="L65" s="869"/>
      <c r="M65" s="869"/>
      <c r="N65" s="869"/>
      <c r="O65" s="869"/>
      <c r="P65" s="869"/>
      <c r="Q65" s="869"/>
      <c r="R65" s="869"/>
      <c r="S65" s="869"/>
      <c r="T65" s="869"/>
      <c r="U65" s="673">
        <f t="shared" si="8"/>
        <v>0</v>
      </c>
      <c r="V65" s="673">
        <f t="shared" si="9"/>
        <v>0</v>
      </c>
      <c r="W65" s="725">
        <f t="shared" si="10"/>
        <v>0</v>
      </c>
      <c r="X65" s="718">
        <f t="shared" si="11"/>
        <v>5250</v>
      </c>
      <c r="Y65" s="874">
        <f t="shared" si="12"/>
        <v>7000</v>
      </c>
    </row>
    <row r="66" spans="1:25" s="951" customFormat="1" x14ac:dyDescent="0.25">
      <c r="A66" s="284" t="s">
        <v>1360</v>
      </c>
      <c r="B66" s="952"/>
      <c r="C66" s="1318"/>
      <c r="D66" s="421"/>
      <c r="E66" s="677">
        <f t="shared" si="4"/>
        <v>0</v>
      </c>
      <c r="F66" s="677">
        <f t="shared" si="5"/>
        <v>0</v>
      </c>
      <c r="G66" s="677">
        <f t="shared" si="6"/>
        <v>0</v>
      </c>
      <c r="H66" s="718">
        <f t="shared" si="7"/>
        <v>0</v>
      </c>
      <c r="I66" s="869"/>
      <c r="J66" s="869"/>
      <c r="K66" s="869"/>
      <c r="L66" s="869"/>
      <c r="M66" s="869"/>
      <c r="N66" s="869"/>
      <c r="O66" s="869"/>
      <c r="P66" s="869"/>
      <c r="Q66" s="869"/>
      <c r="R66" s="869"/>
      <c r="S66" s="869"/>
      <c r="T66" s="869"/>
      <c r="U66" s="673">
        <f t="shared" si="8"/>
        <v>0</v>
      </c>
      <c r="V66" s="673">
        <f t="shared" si="9"/>
        <v>0</v>
      </c>
      <c r="W66" s="725">
        <f t="shared" si="10"/>
        <v>0</v>
      </c>
      <c r="X66" s="718">
        <f t="shared" si="11"/>
        <v>0</v>
      </c>
      <c r="Y66" s="874">
        <f t="shared" si="12"/>
        <v>0</v>
      </c>
    </row>
    <row r="67" spans="1:25" s="951" customFormat="1" x14ac:dyDescent="0.25">
      <c r="A67" s="403" t="s">
        <v>542</v>
      </c>
      <c r="B67" s="952"/>
      <c r="C67" s="1318"/>
      <c r="D67" s="421">
        <v>5000</v>
      </c>
      <c r="E67" s="677">
        <f t="shared" si="4"/>
        <v>5000</v>
      </c>
      <c r="F67" s="677">
        <f t="shared" si="5"/>
        <v>3333.3333333333335</v>
      </c>
      <c r="G67" s="677">
        <f t="shared" si="6"/>
        <v>416.66666666666669</v>
      </c>
      <c r="H67" s="718">
        <f t="shared" si="7"/>
        <v>3750</v>
      </c>
      <c r="I67" s="869"/>
      <c r="J67" s="869"/>
      <c r="K67" s="869"/>
      <c r="L67" s="869"/>
      <c r="M67" s="869"/>
      <c r="N67" s="869"/>
      <c r="O67" s="869"/>
      <c r="P67" s="869"/>
      <c r="Q67" s="869"/>
      <c r="R67" s="869">
        <v>5000</v>
      </c>
      <c r="S67" s="869"/>
      <c r="T67" s="869"/>
      <c r="U67" s="673">
        <f t="shared" si="8"/>
        <v>0</v>
      </c>
      <c r="V67" s="673">
        <f t="shared" si="9"/>
        <v>5000</v>
      </c>
      <c r="W67" s="725">
        <f t="shared" si="10"/>
        <v>5000</v>
      </c>
      <c r="X67" s="718">
        <f t="shared" si="11"/>
        <v>-1250</v>
      </c>
      <c r="Y67" s="874">
        <f t="shared" si="12"/>
        <v>0</v>
      </c>
    </row>
    <row r="68" spans="1:25" s="951" customFormat="1" x14ac:dyDescent="0.25">
      <c r="A68" s="403" t="s">
        <v>583</v>
      </c>
      <c r="B68" s="952"/>
      <c r="C68" s="1318"/>
      <c r="D68" s="421">
        <v>20000</v>
      </c>
      <c r="E68" s="677">
        <f t="shared" si="4"/>
        <v>20000</v>
      </c>
      <c r="F68" s="677">
        <f t="shared" si="5"/>
        <v>13333.333333333334</v>
      </c>
      <c r="G68" s="677">
        <f t="shared" si="6"/>
        <v>1666.6666666666667</v>
      </c>
      <c r="H68" s="718">
        <f t="shared" si="7"/>
        <v>15000</v>
      </c>
      <c r="I68" s="869"/>
      <c r="J68" s="869"/>
      <c r="K68" s="869"/>
      <c r="L68" s="869"/>
      <c r="M68" s="869"/>
      <c r="N68" s="869"/>
      <c r="O68" s="869"/>
      <c r="P68" s="869"/>
      <c r="Q68" s="869"/>
      <c r="R68" s="869">
        <v>19000</v>
      </c>
      <c r="S68" s="869"/>
      <c r="T68" s="869"/>
      <c r="U68" s="673">
        <f t="shared" si="8"/>
        <v>0</v>
      </c>
      <c r="V68" s="673">
        <f t="shared" si="9"/>
        <v>19000</v>
      </c>
      <c r="W68" s="725">
        <f t="shared" si="10"/>
        <v>19000</v>
      </c>
      <c r="X68" s="718">
        <f t="shared" si="11"/>
        <v>-4000</v>
      </c>
      <c r="Y68" s="874">
        <f t="shared" si="12"/>
        <v>1000</v>
      </c>
    </row>
    <row r="69" spans="1:25" s="951" customFormat="1" x14ac:dyDescent="0.25">
      <c r="A69" s="403" t="s">
        <v>253</v>
      </c>
      <c r="B69" s="952"/>
      <c r="C69" s="1318"/>
      <c r="D69" s="421">
        <v>4000</v>
      </c>
      <c r="E69" s="677">
        <f t="shared" si="4"/>
        <v>4000</v>
      </c>
      <c r="F69" s="677">
        <f t="shared" si="5"/>
        <v>2666.6666666666665</v>
      </c>
      <c r="G69" s="677">
        <f t="shared" si="6"/>
        <v>333.33333333333331</v>
      </c>
      <c r="H69" s="718">
        <f t="shared" si="7"/>
        <v>3000</v>
      </c>
      <c r="I69" s="869"/>
      <c r="J69" s="869"/>
      <c r="K69" s="869"/>
      <c r="L69" s="869"/>
      <c r="M69" s="869"/>
      <c r="N69" s="869"/>
      <c r="O69" s="869"/>
      <c r="P69" s="869"/>
      <c r="Q69" s="869"/>
      <c r="R69" s="869">
        <v>3200</v>
      </c>
      <c r="S69" s="869"/>
      <c r="T69" s="869"/>
      <c r="U69" s="673">
        <f t="shared" si="8"/>
        <v>0</v>
      </c>
      <c r="V69" s="673">
        <f t="shared" si="9"/>
        <v>3200</v>
      </c>
      <c r="W69" s="725">
        <f t="shared" si="10"/>
        <v>3200</v>
      </c>
      <c r="X69" s="718">
        <f t="shared" si="11"/>
        <v>-200</v>
      </c>
      <c r="Y69" s="874">
        <f t="shared" si="12"/>
        <v>800</v>
      </c>
    </row>
    <row r="70" spans="1:25" s="951" customFormat="1" x14ac:dyDescent="0.25">
      <c r="A70" s="284" t="s">
        <v>1361</v>
      </c>
      <c r="B70" s="952"/>
      <c r="C70" s="1318"/>
      <c r="D70" s="421"/>
      <c r="E70" s="677">
        <f t="shared" si="4"/>
        <v>0</v>
      </c>
      <c r="F70" s="677">
        <f t="shared" si="5"/>
        <v>0</v>
      </c>
      <c r="G70" s="677">
        <f t="shared" si="6"/>
        <v>0</v>
      </c>
      <c r="H70" s="718">
        <f t="shared" si="7"/>
        <v>0</v>
      </c>
      <c r="I70" s="869"/>
      <c r="J70" s="869"/>
      <c r="K70" s="869"/>
      <c r="L70" s="869"/>
      <c r="M70" s="869"/>
      <c r="N70" s="869"/>
      <c r="O70" s="869"/>
      <c r="P70" s="869"/>
      <c r="Q70" s="869"/>
      <c r="R70" s="869"/>
      <c r="S70" s="869"/>
      <c r="T70" s="869"/>
      <c r="U70" s="673">
        <f t="shared" si="8"/>
        <v>0</v>
      </c>
      <c r="V70" s="673">
        <f t="shared" si="9"/>
        <v>0</v>
      </c>
      <c r="W70" s="725">
        <f t="shared" si="10"/>
        <v>0</v>
      </c>
      <c r="X70" s="718">
        <f t="shared" si="11"/>
        <v>0</v>
      </c>
      <c r="Y70" s="874">
        <f t="shared" si="12"/>
        <v>0</v>
      </c>
    </row>
    <row r="71" spans="1:25" s="951" customFormat="1" x14ac:dyDescent="0.25">
      <c r="A71" s="403" t="s">
        <v>86</v>
      </c>
      <c r="B71" s="952"/>
      <c r="C71" s="1318"/>
      <c r="D71" s="421">
        <v>1000</v>
      </c>
      <c r="E71" s="677">
        <f t="shared" si="4"/>
        <v>1000</v>
      </c>
      <c r="F71" s="677">
        <f t="shared" si="5"/>
        <v>666.66666666666663</v>
      </c>
      <c r="G71" s="677">
        <f t="shared" si="6"/>
        <v>83.333333333333329</v>
      </c>
      <c r="H71" s="718">
        <f t="shared" si="7"/>
        <v>750</v>
      </c>
      <c r="I71" s="869"/>
      <c r="J71" s="869"/>
      <c r="K71" s="869"/>
      <c r="L71" s="869"/>
      <c r="M71" s="869"/>
      <c r="N71" s="869"/>
      <c r="O71" s="869"/>
      <c r="P71" s="869"/>
      <c r="Q71" s="869"/>
      <c r="R71" s="869">
        <v>1000</v>
      </c>
      <c r="S71" s="869"/>
      <c r="T71" s="869"/>
      <c r="U71" s="673">
        <f t="shared" si="8"/>
        <v>0</v>
      </c>
      <c r="V71" s="673">
        <f t="shared" si="9"/>
        <v>1000</v>
      </c>
      <c r="W71" s="725">
        <f t="shared" si="10"/>
        <v>1000</v>
      </c>
      <c r="X71" s="718">
        <f t="shared" si="11"/>
        <v>-250</v>
      </c>
      <c r="Y71" s="874">
        <f t="shared" si="12"/>
        <v>0</v>
      </c>
    </row>
    <row r="72" spans="1:25" s="951" customFormat="1" x14ac:dyDescent="0.25">
      <c r="A72" s="284" t="s">
        <v>1362</v>
      </c>
      <c r="B72" s="952"/>
      <c r="C72" s="1318"/>
      <c r="D72" s="421"/>
      <c r="E72" s="677">
        <f t="shared" si="4"/>
        <v>0</v>
      </c>
      <c r="F72" s="677">
        <f t="shared" si="5"/>
        <v>0</v>
      </c>
      <c r="G72" s="677">
        <f t="shared" si="6"/>
        <v>0</v>
      </c>
      <c r="H72" s="718">
        <f t="shared" si="7"/>
        <v>0</v>
      </c>
      <c r="I72" s="869"/>
      <c r="J72" s="869"/>
      <c r="K72" s="869"/>
      <c r="L72" s="869"/>
      <c r="M72" s="869"/>
      <c r="N72" s="869"/>
      <c r="O72" s="869"/>
      <c r="P72" s="869"/>
      <c r="Q72" s="869"/>
      <c r="R72" s="869"/>
      <c r="S72" s="869"/>
      <c r="T72" s="869"/>
      <c r="U72" s="673">
        <f t="shared" si="8"/>
        <v>0</v>
      </c>
      <c r="V72" s="673">
        <f t="shared" si="9"/>
        <v>0</v>
      </c>
      <c r="W72" s="725">
        <f t="shared" si="10"/>
        <v>0</v>
      </c>
      <c r="X72" s="718">
        <f t="shared" si="11"/>
        <v>0</v>
      </c>
      <c r="Y72" s="874">
        <f t="shared" si="12"/>
        <v>0</v>
      </c>
    </row>
    <row r="73" spans="1:25" s="951" customFormat="1" x14ac:dyDescent="0.25">
      <c r="A73" s="403" t="s">
        <v>542</v>
      </c>
      <c r="B73" s="952"/>
      <c r="C73" s="1318"/>
      <c r="D73" s="421">
        <v>500</v>
      </c>
      <c r="E73" s="677">
        <f t="shared" si="4"/>
        <v>500</v>
      </c>
      <c r="F73" s="677">
        <f t="shared" si="5"/>
        <v>333.33333333333331</v>
      </c>
      <c r="G73" s="677">
        <f t="shared" si="6"/>
        <v>41.666666666666664</v>
      </c>
      <c r="H73" s="718">
        <f t="shared" si="7"/>
        <v>375</v>
      </c>
      <c r="I73" s="869"/>
      <c r="J73" s="869"/>
      <c r="K73" s="869"/>
      <c r="L73" s="869"/>
      <c r="M73" s="869"/>
      <c r="N73" s="869"/>
      <c r="O73" s="869"/>
      <c r="P73" s="869"/>
      <c r="Q73" s="869"/>
      <c r="R73" s="869">
        <v>500</v>
      </c>
      <c r="S73" s="869"/>
      <c r="T73" s="869"/>
      <c r="U73" s="673">
        <f t="shared" si="8"/>
        <v>0</v>
      </c>
      <c r="V73" s="673">
        <f t="shared" si="9"/>
        <v>500</v>
      </c>
      <c r="W73" s="725">
        <f t="shared" si="10"/>
        <v>500</v>
      </c>
      <c r="X73" s="718">
        <f t="shared" si="11"/>
        <v>-125</v>
      </c>
      <c r="Y73" s="874">
        <f t="shared" si="12"/>
        <v>0</v>
      </c>
    </row>
    <row r="74" spans="1:25" s="951" customFormat="1" x14ac:dyDescent="0.25">
      <c r="A74" s="403" t="s">
        <v>86</v>
      </c>
      <c r="B74" s="952"/>
      <c r="C74" s="1318"/>
      <c r="D74" s="421">
        <v>1000</v>
      </c>
      <c r="E74" s="677">
        <f t="shared" si="4"/>
        <v>1000</v>
      </c>
      <c r="F74" s="677">
        <f t="shared" si="5"/>
        <v>666.66666666666663</v>
      </c>
      <c r="G74" s="677">
        <f t="shared" si="6"/>
        <v>83.333333333333329</v>
      </c>
      <c r="H74" s="718">
        <f t="shared" si="7"/>
        <v>750</v>
      </c>
      <c r="I74" s="869"/>
      <c r="J74" s="869"/>
      <c r="K74" s="869"/>
      <c r="L74" s="869"/>
      <c r="M74" s="869"/>
      <c r="N74" s="869"/>
      <c r="O74" s="869"/>
      <c r="P74" s="869"/>
      <c r="Q74" s="869"/>
      <c r="R74" s="869">
        <v>1000</v>
      </c>
      <c r="S74" s="869"/>
      <c r="T74" s="869"/>
      <c r="U74" s="673">
        <f t="shared" si="8"/>
        <v>0</v>
      </c>
      <c r="V74" s="673">
        <f t="shared" si="9"/>
        <v>1000</v>
      </c>
      <c r="W74" s="725">
        <f t="shared" si="10"/>
        <v>1000</v>
      </c>
      <c r="X74" s="718">
        <f t="shared" si="11"/>
        <v>-250</v>
      </c>
      <c r="Y74" s="874">
        <f t="shared" si="12"/>
        <v>0</v>
      </c>
    </row>
    <row r="75" spans="1:25" s="951" customFormat="1" x14ac:dyDescent="0.25">
      <c r="A75" s="403" t="s">
        <v>253</v>
      </c>
      <c r="B75" s="952"/>
      <c r="C75" s="1318"/>
      <c r="D75" s="421">
        <v>10500</v>
      </c>
      <c r="E75" s="677">
        <f t="shared" si="4"/>
        <v>10500</v>
      </c>
      <c r="F75" s="677">
        <f t="shared" si="5"/>
        <v>7000</v>
      </c>
      <c r="G75" s="677">
        <f t="shared" si="6"/>
        <v>875</v>
      </c>
      <c r="H75" s="718">
        <f t="shared" si="7"/>
        <v>7875</v>
      </c>
      <c r="I75" s="869"/>
      <c r="J75" s="869"/>
      <c r="K75" s="869"/>
      <c r="L75" s="869"/>
      <c r="M75" s="869"/>
      <c r="N75" s="869"/>
      <c r="O75" s="869"/>
      <c r="P75" s="869"/>
      <c r="Q75" s="869"/>
      <c r="R75" s="869">
        <v>10500</v>
      </c>
      <c r="S75" s="869"/>
      <c r="T75" s="869"/>
      <c r="U75" s="673">
        <f t="shared" si="8"/>
        <v>0</v>
      </c>
      <c r="V75" s="673">
        <f t="shared" si="9"/>
        <v>10500</v>
      </c>
      <c r="W75" s="725">
        <f t="shared" si="10"/>
        <v>10500</v>
      </c>
      <c r="X75" s="718">
        <f t="shared" si="11"/>
        <v>-2625</v>
      </c>
      <c r="Y75" s="874">
        <f t="shared" si="12"/>
        <v>0</v>
      </c>
    </row>
    <row r="76" spans="1:25" s="951" customFormat="1" x14ac:dyDescent="0.25">
      <c r="A76" s="284" t="s">
        <v>1363</v>
      </c>
      <c r="B76" s="952"/>
      <c r="C76" s="1318"/>
      <c r="D76" s="421"/>
      <c r="E76" s="677">
        <f t="shared" si="4"/>
        <v>0</v>
      </c>
      <c r="F76" s="677">
        <f t="shared" ref="F76:F111" si="13">E76/12*8</f>
        <v>0</v>
      </c>
      <c r="G76" s="677">
        <f t="shared" si="6"/>
        <v>0</v>
      </c>
      <c r="H76" s="718">
        <f t="shared" si="7"/>
        <v>0</v>
      </c>
      <c r="I76" s="869"/>
      <c r="J76" s="869"/>
      <c r="K76" s="869"/>
      <c r="L76" s="869"/>
      <c r="M76" s="869"/>
      <c r="N76" s="869"/>
      <c r="O76" s="869"/>
      <c r="P76" s="869"/>
      <c r="Q76" s="869"/>
      <c r="R76" s="869"/>
      <c r="S76" s="869"/>
      <c r="T76" s="869"/>
      <c r="U76" s="673">
        <f t="shared" ref="U76:U111" si="14">I76+J76+K76+L76+M76+N76+O76+P76+Q76</f>
        <v>0</v>
      </c>
      <c r="V76" s="673">
        <f t="shared" ref="V76:V111" si="15">R76</f>
        <v>0</v>
      </c>
      <c r="W76" s="725">
        <f t="shared" si="10"/>
        <v>0</v>
      </c>
      <c r="X76" s="718">
        <f t="shared" si="11"/>
        <v>0</v>
      </c>
      <c r="Y76" s="874">
        <f t="shared" si="12"/>
        <v>0</v>
      </c>
    </row>
    <row r="77" spans="1:25" s="951" customFormat="1" x14ac:dyDescent="0.25">
      <c r="A77" s="403" t="s">
        <v>542</v>
      </c>
      <c r="B77" s="952"/>
      <c r="C77" s="1318"/>
      <c r="D77" s="421">
        <v>3000</v>
      </c>
      <c r="E77" s="677">
        <f t="shared" si="4"/>
        <v>3000</v>
      </c>
      <c r="F77" s="677">
        <f t="shared" si="13"/>
        <v>2000</v>
      </c>
      <c r="G77" s="677">
        <f t="shared" si="6"/>
        <v>250</v>
      </c>
      <c r="H77" s="718">
        <f t="shared" si="7"/>
        <v>2250</v>
      </c>
      <c r="I77" s="869"/>
      <c r="J77" s="869"/>
      <c r="K77" s="869"/>
      <c r="L77" s="869"/>
      <c r="M77" s="869"/>
      <c r="N77" s="869"/>
      <c r="O77" s="869"/>
      <c r="P77" s="869"/>
      <c r="Q77" s="869"/>
      <c r="R77" s="869">
        <v>3000</v>
      </c>
      <c r="S77" s="869"/>
      <c r="T77" s="869"/>
      <c r="U77" s="673">
        <f t="shared" si="14"/>
        <v>0</v>
      </c>
      <c r="V77" s="673">
        <f t="shared" si="15"/>
        <v>3000</v>
      </c>
      <c r="W77" s="725">
        <f t="shared" si="10"/>
        <v>3000</v>
      </c>
      <c r="X77" s="718">
        <f t="shared" si="11"/>
        <v>-750</v>
      </c>
      <c r="Y77" s="874">
        <f t="shared" si="12"/>
        <v>0</v>
      </c>
    </row>
    <row r="78" spans="1:25" s="951" customFormat="1" x14ac:dyDescent="0.25">
      <c r="A78" s="403" t="s">
        <v>86</v>
      </c>
      <c r="B78" s="952"/>
      <c r="C78" s="1318"/>
      <c r="D78" s="421">
        <v>1000</v>
      </c>
      <c r="E78" s="677">
        <f t="shared" si="4"/>
        <v>1000</v>
      </c>
      <c r="F78" s="677">
        <f t="shared" si="13"/>
        <v>666.66666666666663</v>
      </c>
      <c r="G78" s="677">
        <f t="shared" si="6"/>
        <v>83.333333333333329</v>
      </c>
      <c r="H78" s="718">
        <f t="shared" si="7"/>
        <v>750</v>
      </c>
      <c r="I78" s="869"/>
      <c r="J78" s="869"/>
      <c r="K78" s="869"/>
      <c r="L78" s="869"/>
      <c r="M78" s="869"/>
      <c r="N78" s="869"/>
      <c r="O78" s="869"/>
      <c r="P78" s="869"/>
      <c r="Q78" s="869"/>
      <c r="R78" s="869">
        <v>1000</v>
      </c>
      <c r="S78" s="869"/>
      <c r="T78" s="869"/>
      <c r="U78" s="673">
        <f t="shared" si="14"/>
        <v>0</v>
      </c>
      <c r="V78" s="673">
        <f t="shared" si="15"/>
        <v>1000</v>
      </c>
      <c r="W78" s="725">
        <f t="shared" si="10"/>
        <v>1000</v>
      </c>
      <c r="X78" s="718">
        <f t="shared" si="11"/>
        <v>-250</v>
      </c>
      <c r="Y78" s="874">
        <f t="shared" si="12"/>
        <v>0</v>
      </c>
    </row>
    <row r="79" spans="1:25" s="951" customFormat="1" x14ac:dyDescent="0.25">
      <c r="A79" s="403" t="s">
        <v>583</v>
      </c>
      <c r="B79" s="952"/>
      <c r="C79" s="1318"/>
      <c r="D79" s="421">
        <v>165000</v>
      </c>
      <c r="E79" s="677">
        <f t="shared" si="4"/>
        <v>165000</v>
      </c>
      <c r="F79" s="677">
        <f t="shared" si="13"/>
        <v>110000</v>
      </c>
      <c r="G79" s="677">
        <f t="shared" si="6"/>
        <v>13750</v>
      </c>
      <c r="H79" s="718">
        <f t="shared" si="7"/>
        <v>123750</v>
      </c>
      <c r="I79" s="869"/>
      <c r="J79" s="869"/>
      <c r="K79" s="869"/>
      <c r="L79" s="869"/>
      <c r="M79" s="869"/>
      <c r="N79" s="869"/>
      <c r="O79" s="869"/>
      <c r="P79" s="869"/>
      <c r="Q79" s="869"/>
      <c r="R79" s="869">
        <v>165000</v>
      </c>
      <c r="S79" s="869"/>
      <c r="T79" s="869"/>
      <c r="U79" s="673">
        <f t="shared" si="14"/>
        <v>0</v>
      </c>
      <c r="V79" s="673">
        <f t="shared" si="15"/>
        <v>165000</v>
      </c>
      <c r="W79" s="725">
        <f t="shared" si="10"/>
        <v>165000</v>
      </c>
      <c r="X79" s="718">
        <f t="shared" si="11"/>
        <v>-41250</v>
      </c>
      <c r="Y79" s="874">
        <f t="shared" si="12"/>
        <v>0</v>
      </c>
    </row>
    <row r="80" spans="1:25" s="951" customFormat="1" x14ac:dyDescent="0.25">
      <c r="A80" s="403" t="s">
        <v>253</v>
      </c>
      <c r="B80" s="952"/>
      <c r="C80" s="1318"/>
      <c r="D80" s="421">
        <v>8000</v>
      </c>
      <c r="E80" s="677">
        <f t="shared" si="4"/>
        <v>8000</v>
      </c>
      <c r="F80" s="677">
        <f t="shared" si="13"/>
        <v>5333.333333333333</v>
      </c>
      <c r="G80" s="677">
        <f t="shared" si="6"/>
        <v>666.66666666666663</v>
      </c>
      <c r="H80" s="718">
        <f t="shared" si="7"/>
        <v>6000</v>
      </c>
      <c r="I80" s="869"/>
      <c r="J80" s="869"/>
      <c r="K80" s="869"/>
      <c r="L80" s="869"/>
      <c r="M80" s="869"/>
      <c r="N80" s="869"/>
      <c r="O80" s="869"/>
      <c r="P80" s="869"/>
      <c r="Q80" s="869"/>
      <c r="R80" s="869">
        <v>8000</v>
      </c>
      <c r="S80" s="869"/>
      <c r="T80" s="869"/>
      <c r="U80" s="673">
        <f t="shared" si="14"/>
        <v>0</v>
      </c>
      <c r="V80" s="673">
        <f t="shared" si="15"/>
        <v>8000</v>
      </c>
      <c r="W80" s="725">
        <f t="shared" si="10"/>
        <v>8000</v>
      </c>
      <c r="X80" s="718">
        <f t="shared" si="11"/>
        <v>-2000</v>
      </c>
      <c r="Y80" s="874">
        <f t="shared" si="12"/>
        <v>0</v>
      </c>
    </row>
    <row r="81" spans="1:25" s="951" customFormat="1" ht="26.25" x14ac:dyDescent="0.25">
      <c r="A81" s="1261" t="s">
        <v>1364</v>
      </c>
      <c r="B81" s="952"/>
      <c r="C81" s="1318"/>
      <c r="D81" s="421"/>
      <c r="E81" s="677">
        <f t="shared" si="4"/>
        <v>0</v>
      </c>
      <c r="F81" s="677">
        <f t="shared" si="13"/>
        <v>0</v>
      </c>
      <c r="G81" s="677">
        <f t="shared" si="6"/>
        <v>0</v>
      </c>
      <c r="H81" s="718">
        <f t="shared" si="7"/>
        <v>0</v>
      </c>
      <c r="I81" s="869"/>
      <c r="J81" s="869"/>
      <c r="K81" s="869"/>
      <c r="L81" s="869"/>
      <c r="M81" s="869"/>
      <c r="N81" s="869"/>
      <c r="O81" s="869"/>
      <c r="P81" s="869"/>
      <c r="Q81" s="869"/>
      <c r="R81" s="869"/>
      <c r="S81" s="869"/>
      <c r="T81" s="869"/>
      <c r="U81" s="673">
        <f t="shared" si="14"/>
        <v>0</v>
      </c>
      <c r="V81" s="673">
        <f t="shared" si="15"/>
        <v>0</v>
      </c>
      <c r="W81" s="725">
        <f t="shared" si="10"/>
        <v>0</v>
      </c>
      <c r="X81" s="718">
        <f t="shared" si="11"/>
        <v>0</v>
      </c>
      <c r="Y81" s="874">
        <f t="shared" si="12"/>
        <v>0</v>
      </c>
    </row>
    <row r="82" spans="1:25" s="951" customFormat="1" x14ac:dyDescent="0.25">
      <c r="A82" s="403" t="s">
        <v>542</v>
      </c>
      <c r="B82" s="952"/>
      <c r="C82" s="1318"/>
      <c r="D82" s="421">
        <v>3000</v>
      </c>
      <c r="E82" s="677">
        <f t="shared" si="4"/>
        <v>3000</v>
      </c>
      <c r="F82" s="677">
        <f t="shared" si="13"/>
        <v>2000</v>
      </c>
      <c r="G82" s="677">
        <f t="shared" si="6"/>
        <v>250</v>
      </c>
      <c r="H82" s="718">
        <f t="shared" si="7"/>
        <v>2250</v>
      </c>
      <c r="I82" s="869"/>
      <c r="J82" s="869"/>
      <c r="K82" s="869"/>
      <c r="L82" s="869"/>
      <c r="M82" s="869"/>
      <c r="N82" s="869"/>
      <c r="O82" s="869"/>
      <c r="P82" s="869"/>
      <c r="Q82" s="869"/>
      <c r="R82" s="869">
        <v>3000</v>
      </c>
      <c r="S82" s="869"/>
      <c r="T82" s="869"/>
      <c r="U82" s="673">
        <f t="shared" si="14"/>
        <v>0</v>
      </c>
      <c r="V82" s="673">
        <f t="shared" si="15"/>
        <v>3000</v>
      </c>
      <c r="W82" s="725">
        <f t="shared" si="10"/>
        <v>3000</v>
      </c>
      <c r="X82" s="718">
        <f t="shared" si="11"/>
        <v>-750</v>
      </c>
      <c r="Y82" s="874">
        <f t="shared" si="12"/>
        <v>0</v>
      </c>
    </row>
    <row r="83" spans="1:25" s="951" customFormat="1" x14ac:dyDescent="0.25">
      <c r="A83" s="284" t="s">
        <v>1365</v>
      </c>
      <c r="B83" s="952"/>
      <c r="C83" s="1318"/>
      <c r="D83" s="421"/>
      <c r="E83" s="677">
        <f t="shared" si="4"/>
        <v>0</v>
      </c>
      <c r="F83" s="677">
        <f t="shared" si="13"/>
        <v>0</v>
      </c>
      <c r="G83" s="677">
        <f t="shared" si="6"/>
        <v>0</v>
      </c>
      <c r="H83" s="718">
        <f t="shared" si="7"/>
        <v>0</v>
      </c>
      <c r="I83" s="869"/>
      <c r="J83" s="869"/>
      <c r="K83" s="869"/>
      <c r="L83" s="869"/>
      <c r="M83" s="869"/>
      <c r="N83" s="869"/>
      <c r="O83" s="869"/>
      <c r="P83" s="869"/>
      <c r="Q83" s="869"/>
      <c r="R83" s="869"/>
      <c r="S83" s="869"/>
      <c r="T83" s="869"/>
      <c r="U83" s="673">
        <f t="shared" si="14"/>
        <v>0</v>
      </c>
      <c r="V83" s="673">
        <f t="shared" si="15"/>
        <v>0</v>
      </c>
      <c r="W83" s="725">
        <f t="shared" si="10"/>
        <v>0</v>
      </c>
      <c r="X83" s="718">
        <f t="shared" si="11"/>
        <v>0</v>
      </c>
      <c r="Y83" s="874">
        <f t="shared" si="12"/>
        <v>0</v>
      </c>
    </row>
    <row r="84" spans="1:25" s="951" customFormat="1" x14ac:dyDescent="0.25">
      <c r="A84" s="403" t="s">
        <v>542</v>
      </c>
      <c r="B84" s="952"/>
      <c r="C84" s="1318"/>
      <c r="D84" s="421">
        <v>51500</v>
      </c>
      <c r="E84" s="677">
        <f t="shared" si="4"/>
        <v>51500</v>
      </c>
      <c r="F84" s="677">
        <f t="shared" si="13"/>
        <v>34333.333333333336</v>
      </c>
      <c r="G84" s="677">
        <f t="shared" si="6"/>
        <v>4291.666666666667</v>
      </c>
      <c r="H84" s="718">
        <f t="shared" si="7"/>
        <v>38625</v>
      </c>
      <c r="I84" s="869"/>
      <c r="J84" s="869"/>
      <c r="K84" s="869"/>
      <c r="L84" s="869"/>
      <c r="M84" s="869"/>
      <c r="N84" s="869"/>
      <c r="O84" s="869"/>
      <c r="P84" s="869"/>
      <c r="Q84" s="869"/>
      <c r="R84" s="869">
        <v>1500</v>
      </c>
      <c r="S84" s="869"/>
      <c r="T84" s="869"/>
      <c r="U84" s="673">
        <f t="shared" si="14"/>
        <v>0</v>
      </c>
      <c r="V84" s="673">
        <f t="shared" si="15"/>
        <v>1500</v>
      </c>
      <c r="W84" s="725">
        <f t="shared" si="10"/>
        <v>1500</v>
      </c>
      <c r="X84" s="718">
        <f t="shared" si="11"/>
        <v>37125</v>
      </c>
      <c r="Y84" s="874">
        <f t="shared" si="12"/>
        <v>50000</v>
      </c>
    </row>
    <row r="85" spans="1:25" s="951" customFormat="1" x14ac:dyDescent="0.25">
      <c r="A85" s="403" t="s">
        <v>86</v>
      </c>
      <c r="B85" s="952"/>
      <c r="C85" s="1318"/>
      <c r="D85" s="421">
        <v>1000</v>
      </c>
      <c r="E85" s="677">
        <f t="shared" si="4"/>
        <v>1000</v>
      </c>
      <c r="F85" s="677">
        <f t="shared" si="13"/>
        <v>666.66666666666663</v>
      </c>
      <c r="G85" s="677">
        <f t="shared" si="6"/>
        <v>83.333333333333329</v>
      </c>
      <c r="H85" s="718">
        <f t="shared" si="7"/>
        <v>750</v>
      </c>
      <c r="I85" s="869"/>
      <c r="J85" s="869"/>
      <c r="K85" s="869"/>
      <c r="L85" s="869"/>
      <c r="M85" s="869"/>
      <c r="N85" s="869"/>
      <c r="O85" s="869"/>
      <c r="P85" s="869"/>
      <c r="Q85" s="869"/>
      <c r="R85" s="869">
        <v>1000</v>
      </c>
      <c r="S85" s="869"/>
      <c r="T85" s="869"/>
      <c r="U85" s="673">
        <f t="shared" si="14"/>
        <v>0</v>
      </c>
      <c r="V85" s="673">
        <f t="shared" si="15"/>
        <v>1000</v>
      </c>
      <c r="W85" s="725">
        <f t="shared" si="10"/>
        <v>1000</v>
      </c>
      <c r="X85" s="718">
        <f t="shared" si="11"/>
        <v>-250</v>
      </c>
      <c r="Y85" s="874">
        <f t="shared" si="12"/>
        <v>0</v>
      </c>
    </row>
    <row r="86" spans="1:25" s="951" customFormat="1" x14ac:dyDescent="0.25">
      <c r="A86" s="403" t="s">
        <v>253</v>
      </c>
      <c r="B86" s="952"/>
      <c r="C86" s="1318"/>
      <c r="D86" s="421">
        <v>1600</v>
      </c>
      <c r="E86" s="677">
        <f t="shared" si="4"/>
        <v>1600</v>
      </c>
      <c r="F86" s="677">
        <f t="shared" si="13"/>
        <v>1066.6666666666667</v>
      </c>
      <c r="G86" s="677">
        <f t="shared" si="6"/>
        <v>133.33333333333334</v>
      </c>
      <c r="H86" s="718">
        <f t="shared" si="7"/>
        <v>1200</v>
      </c>
      <c r="I86" s="869"/>
      <c r="J86" s="869"/>
      <c r="K86" s="869"/>
      <c r="L86" s="869"/>
      <c r="M86" s="869"/>
      <c r="N86" s="869"/>
      <c r="O86" s="869"/>
      <c r="P86" s="869"/>
      <c r="Q86" s="869"/>
      <c r="R86" s="869">
        <v>1600</v>
      </c>
      <c r="S86" s="869"/>
      <c r="T86" s="869"/>
      <c r="U86" s="673">
        <f t="shared" si="14"/>
        <v>0</v>
      </c>
      <c r="V86" s="673">
        <f t="shared" si="15"/>
        <v>1600</v>
      </c>
      <c r="W86" s="725">
        <f t="shared" si="10"/>
        <v>1600</v>
      </c>
      <c r="X86" s="718">
        <f t="shared" si="11"/>
        <v>-400</v>
      </c>
      <c r="Y86" s="874">
        <f t="shared" si="12"/>
        <v>0</v>
      </c>
    </row>
    <row r="87" spans="1:25" s="951" customFormat="1" ht="26.25" x14ac:dyDescent="0.25">
      <c r="A87" s="1261" t="s">
        <v>1366</v>
      </c>
      <c r="B87" s="952"/>
      <c r="C87" s="1318"/>
      <c r="D87" s="421"/>
      <c r="E87" s="677">
        <f t="shared" si="4"/>
        <v>0</v>
      </c>
      <c r="F87" s="677">
        <f t="shared" si="13"/>
        <v>0</v>
      </c>
      <c r="G87" s="677">
        <f t="shared" si="6"/>
        <v>0</v>
      </c>
      <c r="H87" s="718">
        <f t="shared" si="7"/>
        <v>0</v>
      </c>
      <c r="I87" s="869"/>
      <c r="J87" s="869"/>
      <c r="K87" s="869"/>
      <c r="L87" s="869"/>
      <c r="M87" s="869"/>
      <c r="N87" s="869"/>
      <c r="O87" s="869"/>
      <c r="P87" s="869"/>
      <c r="Q87" s="869"/>
      <c r="R87" s="869"/>
      <c r="S87" s="869"/>
      <c r="T87" s="869"/>
      <c r="U87" s="673">
        <f t="shared" si="14"/>
        <v>0</v>
      </c>
      <c r="V87" s="673">
        <f t="shared" si="15"/>
        <v>0</v>
      </c>
      <c r="W87" s="725">
        <f t="shared" si="10"/>
        <v>0</v>
      </c>
      <c r="X87" s="718">
        <f t="shared" si="11"/>
        <v>0</v>
      </c>
      <c r="Y87" s="874">
        <f t="shared" si="12"/>
        <v>0</v>
      </c>
    </row>
    <row r="88" spans="1:25" s="951" customFormat="1" x14ac:dyDescent="0.25">
      <c r="A88" s="403" t="s">
        <v>542</v>
      </c>
      <c r="B88" s="952"/>
      <c r="C88" s="1318"/>
      <c r="D88" s="421">
        <v>10000</v>
      </c>
      <c r="E88" s="677">
        <f t="shared" si="4"/>
        <v>10000</v>
      </c>
      <c r="F88" s="677">
        <f t="shared" si="13"/>
        <v>6666.666666666667</v>
      </c>
      <c r="G88" s="677">
        <f t="shared" si="6"/>
        <v>833.33333333333337</v>
      </c>
      <c r="H88" s="718">
        <f t="shared" si="7"/>
        <v>7500</v>
      </c>
      <c r="I88" s="869"/>
      <c r="J88" s="869"/>
      <c r="K88" s="869"/>
      <c r="L88" s="869"/>
      <c r="M88" s="869"/>
      <c r="N88" s="869"/>
      <c r="O88" s="869"/>
      <c r="P88" s="869"/>
      <c r="Q88" s="869"/>
      <c r="R88" s="869">
        <v>9400</v>
      </c>
      <c r="S88" s="869"/>
      <c r="T88" s="869"/>
      <c r="U88" s="673">
        <f t="shared" si="14"/>
        <v>0</v>
      </c>
      <c r="V88" s="673">
        <f t="shared" si="15"/>
        <v>9400</v>
      </c>
      <c r="W88" s="725">
        <f t="shared" si="10"/>
        <v>9400</v>
      </c>
      <c r="X88" s="718">
        <f t="shared" si="11"/>
        <v>-1900</v>
      </c>
      <c r="Y88" s="874">
        <f t="shared" si="12"/>
        <v>600</v>
      </c>
    </row>
    <row r="89" spans="1:25" s="951" customFormat="1" x14ac:dyDescent="0.25">
      <c r="A89" s="403" t="s">
        <v>86</v>
      </c>
      <c r="B89" s="952"/>
      <c r="C89" s="1318"/>
      <c r="D89" s="421">
        <v>1000</v>
      </c>
      <c r="E89" s="677">
        <f t="shared" si="4"/>
        <v>1000</v>
      </c>
      <c r="F89" s="677">
        <f t="shared" si="13"/>
        <v>666.66666666666663</v>
      </c>
      <c r="G89" s="677">
        <f t="shared" si="6"/>
        <v>83.333333333333329</v>
      </c>
      <c r="H89" s="718">
        <f t="shared" si="7"/>
        <v>750</v>
      </c>
      <c r="I89" s="869"/>
      <c r="J89" s="869"/>
      <c r="K89" s="869"/>
      <c r="L89" s="869"/>
      <c r="M89" s="869"/>
      <c r="N89" s="869"/>
      <c r="O89" s="869"/>
      <c r="P89" s="869"/>
      <c r="Q89" s="869"/>
      <c r="R89" s="869">
        <v>1000</v>
      </c>
      <c r="S89" s="869"/>
      <c r="T89" s="869"/>
      <c r="U89" s="673">
        <f t="shared" si="14"/>
        <v>0</v>
      </c>
      <c r="V89" s="673">
        <f t="shared" si="15"/>
        <v>1000</v>
      </c>
      <c r="W89" s="725">
        <f t="shared" si="10"/>
        <v>1000</v>
      </c>
      <c r="X89" s="718">
        <f t="shared" si="11"/>
        <v>-250</v>
      </c>
      <c r="Y89" s="874">
        <f t="shared" si="12"/>
        <v>0</v>
      </c>
    </row>
    <row r="90" spans="1:25" s="951" customFormat="1" x14ac:dyDescent="0.25">
      <c r="A90" s="403" t="s">
        <v>583</v>
      </c>
      <c r="B90" s="952"/>
      <c r="C90" s="1318"/>
      <c r="D90" s="421">
        <v>53800</v>
      </c>
      <c r="E90" s="677">
        <f t="shared" si="4"/>
        <v>53800</v>
      </c>
      <c r="F90" s="677">
        <f t="shared" si="13"/>
        <v>35866.666666666664</v>
      </c>
      <c r="G90" s="677">
        <f t="shared" si="6"/>
        <v>4483.333333333333</v>
      </c>
      <c r="H90" s="718">
        <f t="shared" si="7"/>
        <v>40350</v>
      </c>
      <c r="I90" s="869"/>
      <c r="J90" s="869"/>
      <c r="K90" s="869"/>
      <c r="L90" s="869"/>
      <c r="M90" s="869"/>
      <c r="N90" s="869"/>
      <c r="O90" s="869"/>
      <c r="P90" s="869"/>
      <c r="Q90" s="869"/>
      <c r="R90" s="869">
        <f>16800+37000</f>
        <v>53800</v>
      </c>
      <c r="S90" s="869"/>
      <c r="T90" s="869"/>
      <c r="U90" s="673">
        <f t="shared" si="14"/>
        <v>0</v>
      </c>
      <c r="V90" s="673">
        <f t="shared" si="15"/>
        <v>53800</v>
      </c>
      <c r="W90" s="725">
        <f t="shared" si="10"/>
        <v>53800</v>
      </c>
      <c r="X90" s="718">
        <f t="shared" si="11"/>
        <v>-13450</v>
      </c>
      <c r="Y90" s="874">
        <f t="shared" si="12"/>
        <v>0</v>
      </c>
    </row>
    <row r="91" spans="1:25" s="951" customFormat="1" x14ac:dyDescent="0.25">
      <c r="A91" s="403" t="s">
        <v>253</v>
      </c>
      <c r="B91" s="952"/>
      <c r="C91" s="1318"/>
      <c r="D91" s="421">
        <v>20000</v>
      </c>
      <c r="E91" s="677">
        <f t="shared" si="4"/>
        <v>20000</v>
      </c>
      <c r="F91" s="677">
        <f t="shared" si="13"/>
        <v>13333.333333333334</v>
      </c>
      <c r="G91" s="677">
        <f t="shared" si="6"/>
        <v>1666.6666666666667</v>
      </c>
      <c r="H91" s="718">
        <f t="shared" si="7"/>
        <v>15000</v>
      </c>
      <c r="I91" s="869"/>
      <c r="J91" s="869"/>
      <c r="K91" s="869"/>
      <c r="L91" s="869"/>
      <c r="M91" s="869"/>
      <c r="N91" s="869"/>
      <c r="O91" s="869"/>
      <c r="P91" s="869"/>
      <c r="Q91" s="869"/>
      <c r="R91" s="869">
        <v>20000</v>
      </c>
      <c r="S91" s="869"/>
      <c r="T91" s="869"/>
      <c r="U91" s="673">
        <f t="shared" si="14"/>
        <v>0</v>
      </c>
      <c r="V91" s="673">
        <f t="shared" si="15"/>
        <v>20000</v>
      </c>
      <c r="W91" s="725">
        <f t="shared" si="10"/>
        <v>20000</v>
      </c>
      <c r="X91" s="718">
        <f t="shared" si="11"/>
        <v>-5000</v>
      </c>
      <c r="Y91" s="874">
        <f t="shared" si="12"/>
        <v>0</v>
      </c>
    </row>
    <row r="92" spans="1:25" s="951" customFormat="1" x14ac:dyDescent="0.25">
      <c r="A92" s="284" t="s">
        <v>1367</v>
      </c>
      <c r="B92" s="952"/>
      <c r="C92" s="1318"/>
      <c r="D92" s="421"/>
      <c r="E92" s="677">
        <f t="shared" si="4"/>
        <v>0</v>
      </c>
      <c r="F92" s="677">
        <f t="shared" si="13"/>
        <v>0</v>
      </c>
      <c r="G92" s="677">
        <f t="shared" si="6"/>
        <v>0</v>
      </c>
      <c r="H92" s="718">
        <f t="shared" si="7"/>
        <v>0</v>
      </c>
      <c r="I92" s="869"/>
      <c r="J92" s="869"/>
      <c r="K92" s="869"/>
      <c r="L92" s="869"/>
      <c r="M92" s="869"/>
      <c r="N92" s="869"/>
      <c r="O92" s="869"/>
      <c r="P92" s="869"/>
      <c r="Q92" s="869"/>
      <c r="R92" s="869"/>
      <c r="S92" s="869"/>
      <c r="T92" s="869"/>
      <c r="U92" s="673">
        <f t="shared" si="14"/>
        <v>0</v>
      </c>
      <c r="V92" s="673">
        <f t="shared" si="15"/>
        <v>0</v>
      </c>
      <c r="W92" s="725">
        <f t="shared" si="10"/>
        <v>0</v>
      </c>
      <c r="X92" s="718">
        <f t="shared" si="11"/>
        <v>0</v>
      </c>
      <c r="Y92" s="874">
        <f t="shared" si="12"/>
        <v>0</v>
      </c>
    </row>
    <row r="93" spans="1:25" s="951" customFormat="1" x14ac:dyDescent="0.25">
      <c r="A93" s="403" t="s">
        <v>542</v>
      </c>
      <c r="B93" s="952"/>
      <c r="C93" s="1318"/>
      <c r="D93" s="421">
        <v>3000</v>
      </c>
      <c r="E93" s="677">
        <f t="shared" si="4"/>
        <v>3000</v>
      </c>
      <c r="F93" s="677">
        <f t="shared" si="13"/>
        <v>2000</v>
      </c>
      <c r="G93" s="677">
        <f t="shared" si="6"/>
        <v>250</v>
      </c>
      <c r="H93" s="718">
        <f t="shared" si="7"/>
        <v>2250</v>
      </c>
      <c r="I93" s="869"/>
      <c r="J93" s="869"/>
      <c r="K93" s="869"/>
      <c r="L93" s="869"/>
      <c r="M93" s="869"/>
      <c r="N93" s="869"/>
      <c r="O93" s="869"/>
      <c r="P93" s="869"/>
      <c r="Q93" s="869"/>
      <c r="R93" s="869">
        <v>3000</v>
      </c>
      <c r="S93" s="869"/>
      <c r="T93" s="869"/>
      <c r="U93" s="673">
        <f t="shared" si="14"/>
        <v>0</v>
      </c>
      <c r="V93" s="673">
        <f t="shared" si="15"/>
        <v>3000</v>
      </c>
      <c r="W93" s="725">
        <f t="shared" si="10"/>
        <v>3000</v>
      </c>
      <c r="X93" s="718">
        <f t="shared" si="11"/>
        <v>-750</v>
      </c>
      <c r="Y93" s="874">
        <f t="shared" si="12"/>
        <v>0</v>
      </c>
    </row>
    <row r="94" spans="1:25" s="951" customFormat="1" x14ac:dyDescent="0.25">
      <c r="A94" s="403" t="s">
        <v>86</v>
      </c>
      <c r="B94" s="952"/>
      <c r="C94" s="1318"/>
      <c r="D94" s="421">
        <v>1600</v>
      </c>
      <c r="E94" s="677">
        <f t="shared" si="4"/>
        <v>1600</v>
      </c>
      <c r="F94" s="677">
        <f t="shared" si="13"/>
        <v>1066.6666666666667</v>
      </c>
      <c r="G94" s="677">
        <f t="shared" si="6"/>
        <v>133.33333333333334</v>
      </c>
      <c r="H94" s="718">
        <f t="shared" si="7"/>
        <v>1200</v>
      </c>
      <c r="I94" s="869"/>
      <c r="J94" s="869"/>
      <c r="K94" s="869"/>
      <c r="L94" s="869"/>
      <c r="M94" s="869"/>
      <c r="N94" s="869"/>
      <c r="O94" s="869"/>
      <c r="P94" s="869"/>
      <c r="Q94" s="869"/>
      <c r="R94" s="869">
        <v>1600</v>
      </c>
      <c r="S94" s="869"/>
      <c r="T94" s="869"/>
      <c r="U94" s="673">
        <f t="shared" si="14"/>
        <v>0</v>
      </c>
      <c r="V94" s="673">
        <f t="shared" si="15"/>
        <v>1600</v>
      </c>
      <c r="W94" s="725">
        <f t="shared" si="10"/>
        <v>1600</v>
      </c>
      <c r="X94" s="718">
        <f t="shared" si="11"/>
        <v>-400</v>
      </c>
      <c r="Y94" s="874">
        <f t="shared" si="12"/>
        <v>0</v>
      </c>
    </row>
    <row r="95" spans="1:25" s="951" customFormat="1" ht="26.25" x14ac:dyDescent="0.25">
      <c r="A95" s="1261" t="s">
        <v>1368</v>
      </c>
      <c r="B95" s="952"/>
      <c r="C95" s="1318"/>
      <c r="D95" s="421"/>
      <c r="E95" s="677">
        <f t="shared" si="4"/>
        <v>0</v>
      </c>
      <c r="F95" s="677">
        <f t="shared" si="13"/>
        <v>0</v>
      </c>
      <c r="G95" s="677">
        <f t="shared" si="6"/>
        <v>0</v>
      </c>
      <c r="H95" s="718">
        <f t="shared" si="7"/>
        <v>0</v>
      </c>
      <c r="I95" s="869"/>
      <c r="J95" s="869"/>
      <c r="K95" s="869"/>
      <c r="L95" s="869"/>
      <c r="M95" s="869"/>
      <c r="N95" s="869"/>
      <c r="O95" s="869"/>
      <c r="P95" s="869"/>
      <c r="Q95" s="869"/>
      <c r="R95" s="869"/>
      <c r="S95" s="869"/>
      <c r="T95" s="869"/>
      <c r="U95" s="673">
        <f t="shared" si="14"/>
        <v>0</v>
      </c>
      <c r="V95" s="673">
        <f t="shared" si="15"/>
        <v>0</v>
      </c>
      <c r="W95" s="725">
        <f t="shared" si="10"/>
        <v>0</v>
      </c>
      <c r="X95" s="718">
        <f t="shared" si="11"/>
        <v>0</v>
      </c>
      <c r="Y95" s="874">
        <f t="shared" si="12"/>
        <v>0</v>
      </c>
    </row>
    <row r="96" spans="1:25" s="951" customFormat="1" x14ac:dyDescent="0.25">
      <c r="A96" s="403" t="s">
        <v>69</v>
      </c>
      <c r="B96" s="952"/>
      <c r="C96" s="1318"/>
      <c r="D96" s="421">
        <v>8500</v>
      </c>
      <c r="E96" s="677">
        <f t="shared" si="4"/>
        <v>8500</v>
      </c>
      <c r="F96" s="677">
        <f t="shared" si="13"/>
        <v>5666.666666666667</v>
      </c>
      <c r="G96" s="677">
        <f t="shared" si="6"/>
        <v>708.33333333333337</v>
      </c>
      <c r="H96" s="718">
        <f t="shared" si="7"/>
        <v>6375</v>
      </c>
      <c r="I96" s="869"/>
      <c r="J96" s="869"/>
      <c r="K96" s="869"/>
      <c r="L96" s="869"/>
      <c r="M96" s="869"/>
      <c r="N96" s="869"/>
      <c r="O96" s="869"/>
      <c r="P96" s="869"/>
      <c r="Q96" s="869"/>
      <c r="R96" s="869">
        <v>8500</v>
      </c>
      <c r="S96" s="869"/>
      <c r="T96" s="869"/>
      <c r="U96" s="673">
        <f t="shared" si="14"/>
        <v>0</v>
      </c>
      <c r="V96" s="673">
        <f t="shared" si="15"/>
        <v>8500</v>
      </c>
      <c r="W96" s="725">
        <f t="shared" si="10"/>
        <v>8500</v>
      </c>
      <c r="X96" s="718">
        <f t="shared" si="11"/>
        <v>-2125</v>
      </c>
      <c r="Y96" s="874">
        <f t="shared" si="12"/>
        <v>0</v>
      </c>
    </row>
    <row r="97" spans="1:25" s="951" customFormat="1" x14ac:dyDescent="0.25">
      <c r="A97" s="403"/>
      <c r="B97" s="952"/>
      <c r="C97" s="1318"/>
      <c r="D97" s="421"/>
      <c r="E97" s="677">
        <f t="shared" si="4"/>
        <v>0</v>
      </c>
      <c r="F97" s="677">
        <f t="shared" si="13"/>
        <v>0</v>
      </c>
      <c r="G97" s="677">
        <f t="shared" si="6"/>
        <v>0</v>
      </c>
      <c r="H97" s="718">
        <f t="shared" si="7"/>
        <v>0</v>
      </c>
      <c r="I97" s="869"/>
      <c r="J97" s="869"/>
      <c r="K97" s="869"/>
      <c r="L97" s="869"/>
      <c r="M97" s="869"/>
      <c r="N97" s="869"/>
      <c r="O97" s="869"/>
      <c r="P97" s="869"/>
      <c r="Q97" s="869"/>
      <c r="R97" s="869"/>
      <c r="S97" s="869"/>
      <c r="T97" s="869"/>
      <c r="U97" s="673">
        <f t="shared" si="14"/>
        <v>0</v>
      </c>
      <c r="V97" s="673">
        <f t="shared" si="15"/>
        <v>0</v>
      </c>
      <c r="W97" s="725">
        <f t="shared" si="10"/>
        <v>0</v>
      </c>
      <c r="X97" s="718">
        <f t="shared" si="11"/>
        <v>0</v>
      </c>
      <c r="Y97" s="874">
        <f t="shared" si="12"/>
        <v>0</v>
      </c>
    </row>
    <row r="98" spans="1:25" x14ac:dyDescent="0.25">
      <c r="A98" s="350" t="s">
        <v>594</v>
      </c>
      <c r="B98" s="46"/>
      <c r="C98" s="232"/>
      <c r="D98" s="217"/>
      <c r="E98" s="677">
        <f t="shared" si="4"/>
        <v>0</v>
      </c>
      <c r="F98" s="677">
        <f t="shared" si="13"/>
        <v>0</v>
      </c>
      <c r="G98" s="677">
        <f t="shared" si="6"/>
        <v>0</v>
      </c>
      <c r="H98" s="718">
        <f t="shared" si="7"/>
        <v>0</v>
      </c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673">
        <f t="shared" si="14"/>
        <v>0</v>
      </c>
      <c r="V98" s="673">
        <f t="shared" si="15"/>
        <v>0</v>
      </c>
      <c r="W98" s="725">
        <f t="shared" si="10"/>
        <v>0</v>
      </c>
      <c r="X98" s="718">
        <f t="shared" si="11"/>
        <v>0</v>
      </c>
      <c r="Y98" s="874">
        <f t="shared" si="12"/>
        <v>0</v>
      </c>
    </row>
    <row r="99" spans="1:25" x14ac:dyDescent="0.25">
      <c r="A99" s="419" t="s">
        <v>542</v>
      </c>
      <c r="B99" s="46" t="s">
        <v>150</v>
      </c>
      <c r="C99" s="1318"/>
      <c r="D99" s="421"/>
      <c r="E99" s="677">
        <f t="shared" si="4"/>
        <v>0</v>
      </c>
      <c r="F99" s="677">
        <f t="shared" si="13"/>
        <v>0</v>
      </c>
      <c r="G99" s="677">
        <f t="shared" si="6"/>
        <v>0</v>
      </c>
      <c r="H99" s="718">
        <f t="shared" si="7"/>
        <v>0</v>
      </c>
      <c r="I99" s="90"/>
      <c r="J99" s="90"/>
      <c r="K99" s="90"/>
      <c r="L99" s="90"/>
      <c r="M99" s="48"/>
      <c r="N99" s="48"/>
      <c r="O99" s="48"/>
      <c r="P99" s="48"/>
      <c r="Q99" s="48"/>
      <c r="R99" s="48"/>
      <c r="S99" s="48"/>
      <c r="T99" s="48"/>
      <c r="U99" s="673">
        <f t="shared" si="14"/>
        <v>0</v>
      </c>
      <c r="V99" s="673">
        <f t="shared" si="15"/>
        <v>0</v>
      </c>
      <c r="W99" s="725">
        <f t="shared" si="10"/>
        <v>0</v>
      </c>
      <c r="X99" s="718">
        <f t="shared" si="11"/>
        <v>0</v>
      </c>
      <c r="Y99" s="874">
        <f t="shared" si="12"/>
        <v>0</v>
      </c>
    </row>
    <row r="100" spans="1:25" ht="26.25" x14ac:dyDescent="0.25">
      <c r="A100" s="420" t="s">
        <v>595</v>
      </c>
      <c r="B100" s="46"/>
      <c r="C100" s="1318">
        <v>5000</v>
      </c>
      <c r="D100" s="421"/>
      <c r="E100" s="677">
        <f t="shared" si="4"/>
        <v>5000</v>
      </c>
      <c r="F100" s="677">
        <f t="shared" si="13"/>
        <v>3333.3333333333335</v>
      </c>
      <c r="G100" s="677">
        <f t="shared" si="6"/>
        <v>416.66666666666669</v>
      </c>
      <c r="H100" s="718">
        <f t="shared" si="7"/>
        <v>3750</v>
      </c>
      <c r="I100" s="90"/>
      <c r="J100" s="90"/>
      <c r="K100" s="90"/>
      <c r="L100" s="90"/>
      <c r="M100" s="48"/>
      <c r="N100" s="48"/>
      <c r="O100" s="48"/>
      <c r="P100" s="48"/>
      <c r="Q100" s="48"/>
      <c r="R100" s="48"/>
      <c r="S100" s="48"/>
      <c r="T100" s="48"/>
      <c r="U100" s="673">
        <f t="shared" si="14"/>
        <v>0</v>
      </c>
      <c r="V100" s="673">
        <f t="shared" si="15"/>
        <v>0</v>
      </c>
      <c r="W100" s="725">
        <f t="shared" si="10"/>
        <v>0</v>
      </c>
      <c r="X100" s="718">
        <f t="shared" si="11"/>
        <v>3750</v>
      </c>
      <c r="Y100" s="874">
        <f t="shared" si="12"/>
        <v>5000</v>
      </c>
    </row>
    <row r="101" spans="1:25" x14ac:dyDescent="0.25">
      <c r="A101" s="61" t="s">
        <v>484</v>
      </c>
      <c r="B101" s="425" t="s">
        <v>1387</v>
      </c>
      <c r="C101" s="232"/>
      <c r="D101" s="217"/>
      <c r="E101" s="677">
        <f t="shared" si="4"/>
        <v>0</v>
      </c>
      <c r="F101" s="677">
        <f t="shared" si="13"/>
        <v>0</v>
      </c>
      <c r="G101" s="677">
        <f t="shared" si="6"/>
        <v>0</v>
      </c>
      <c r="H101" s="718">
        <f t="shared" si="7"/>
        <v>0</v>
      </c>
      <c r="I101" s="90"/>
      <c r="J101" s="90"/>
      <c r="K101" s="90"/>
      <c r="L101" s="90"/>
      <c r="M101" s="48"/>
      <c r="N101" s="48"/>
      <c r="O101" s="48"/>
      <c r="P101" s="48"/>
      <c r="Q101" s="48"/>
      <c r="R101" s="48"/>
      <c r="S101" s="48"/>
      <c r="T101" s="48"/>
      <c r="U101" s="673">
        <f t="shared" si="14"/>
        <v>0</v>
      </c>
      <c r="V101" s="673">
        <f t="shared" si="15"/>
        <v>0</v>
      </c>
      <c r="W101" s="725">
        <f t="shared" si="10"/>
        <v>0</v>
      </c>
      <c r="X101" s="718">
        <f t="shared" si="11"/>
        <v>0</v>
      </c>
      <c r="Y101" s="874">
        <f t="shared" si="12"/>
        <v>0</v>
      </c>
    </row>
    <row r="102" spans="1:25" x14ac:dyDescent="0.25">
      <c r="A102" s="276" t="s">
        <v>596</v>
      </c>
      <c r="B102" s="425"/>
      <c r="C102" s="1318">
        <v>200000</v>
      </c>
      <c r="D102" s="421"/>
      <c r="E102" s="677">
        <f t="shared" si="4"/>
        <v>200000</v>
      </c>
      <c r="F102" s="677">
        <f t="shared" si="13"/>
        <v>133333.33333333334</v>
      </c>
      <c r="G102" s="677">
        <f t="shared" si="6"/>
        <v>16666.666666666668</v>
      </c>
      <c r="H102" s="718">
        <f t="shared" si="7"/>
        <v>150000</v>
      </c>
      <c r="I102" s="90"/>
      <c r="J102" s="90"/>
      <c r="K102" s="90"/>
      <c r="L102" s="90"/>
      <c r="M102" s="48"/>
      <c r="N102" s="48"/>
      <c r="O102" s="48"/>
      <c r="P102" s="48"/>
      <c r="Q102" s="48"/>
      <c r="R102" s="48"/>
      <c r="S102" s="48"/>
      <c r="T102" s="48"/>
      <c r="U102" s="673">
        <f t="shared" si="14"/>
        <v>0</v>
      </c>
      <c r="V102" s="673">
        <f t="shared" si="15"/>
        <v>0</v>
      </c>
      <c r="W102" s="725">
        <f t="shared" si="10"/>
        <v>0</v>
      </c>
      <c r="X102" s="718">
        <f t="shared" si="11"/>
        <v>150000</v>
      </c>
      <c r="Y102" s="874">
        <f t="shared" si="12"/>
        <v>200000</v>
      </c>
    </row>
    <row r="103" spans="1:25" x14ac:dyDescent="0.25">
      <c r="A103" s="61" t="s">
        <v>274</v>
      </c>
      <c r="B103" s="46" t="s">
        <v>104</v>
      </c>
      <c r="C103" s="1318"/>
      <c r="D103" s="421"/>
      <c r="E103" s="677">
        <f t="shared" si="4"/>
        <v>0</v>
      </c>
      <c r="F103" s="677">
        <f t="shared" si="13"/>
        <v>0</v>
      </c>
      <c r="G103" s="677">
        <f t="shared" si="6"/>
        <v>0</v>
      </c>
      <c r="H103" s="718">
        <f t="shared" si="7"/>
        <v>0</v>
      </c>
      <c r="I103" s="80"/>
      <c r="J103" s="80"/>
      <c r="K103" s="80"/>
      <c r="L103" s="80"/>
      <c r="M103" s="104"/>
      <c r="N103" s="104"/>
      <c r="O103" s="104"/>
      <c r="P103" s="104"/>
      <c r="Q103" s="104"/>
      <c r="R103" s="104"/>
      <c r="S103" s="104"/>
      <c r="T103" s="104"/>
      <c r="U103" s="673">
        <f t="shared" si="14"/>
        <v>0</v>
      </c>
      <c r="V103" s="673">
        <f t="shared" si="15"/>
        <v>0</v>
      </c>
      <c r="W103" s="725">
        <f t="shared" si="10"/>
        <v>0</v>
      </c>
      <c r="X103" s="718">
        <f t="shared" si="11"/>
        <v>0</v>
      </c>
      <c r="Y103" s="874">
        <f t="shared" si="12"/>
        <v>0</v>
      </c>
    </row>
    <row r="104" spans="1:25" x14ac:dyDescent="0.25">
      <c r="A104" s="276" t="s">
        <v>597</v>
      </c>
      <c r="B104" s="46"/>
      <c r="C104" s="1318">
        <v>54000</v>
      </c>
      <c r="D104" s="421"/>
      <c r="E104" s="677">
        <f t="shared" si="4"/>
        <v>54000</v>
      </c>
      <c r="F104" s="677">
        <f t="shared" si="13"/>
        <v>36000</v>
      </c>
      <c r="G104" s="677">
        <f t="shared" si="6"/>
        <v>4500</v>
      </c>
      <c r="H104" s="718">
        <f t="shared" si="7"/>
        <v>40500</v>
      </c>
      <c r="I104" s="80"/>
      <c r="J104" s="80"/>
      <c r="K104" s="80"/>
      <c r="L104" s="80"/>
      <c r="M104" s="101"/>
      <c r="N104" s="101"/>
      <c r="O104" s="101"/>
      <c r="P104" s="101"/>
      <c r="Q104" s="101"/>
      <c r="R104" s="101"/>
      <c r="S104" s="101"/>
      <c r="T104" s="101"/>
      <c r="U104" s="673">
        <f t="shared" si="14"/>
        <v>0</v>
      </c>
      <c r="V104" s="673">
        <f t="shared" si="15"/>
        <v>0</v>
      </c>
      <c r="W104" s="77">
        <f t="shared" si="1"/>
        <v>0</v>
      </c>
      <c r="X104" s="43">
        <f t="shared" si="2"/>
        <v>40500</v>
      </c>
      <c r="Y104" s="89">
        <f t="shared" si="3"/>
        <v>54000</v>
      </c>
    </row>
    <row r="105" spans="1:25" x14ac:dyDescent="0.25">
      <c r="A105" s="61" t="s">
        <v>155</v>
      </c>
      <c r="B105" s="46" t="s">
        <v>106</v>
      </c>
      <c r="C105" s="1318"/>
      <c r="D105" s="421"/>
      <c r="E105" s="677">
        <f t="shared" si="4"/>
        <v>0</v>
      </c>
      <c r="F105" s="677">
        <f t="shared" si="13"/>
        <v>0</v>
      </c>
      <c r="G105" s="677">
        <f t="shared" si="6"/>
        <v>0</v>
      </c>
      <c r="H105" s="718">
        <f t="shared" si="7"/>
        <v>0</v>
      </c>
      <c r="I105" s="90"/>
      <c r="J105" s="90"/>
      <c r="K105" s="90"/>
      <c r="L105" s="90"/>
      <c r="M105" s="48"/>
      <c r="N105" s="48"/>
      <c r="O105" s="48"/>
      <c r="P105" s="48"/>
      <c r="Q105" s="48"/>
      <c r="R105" s="48"/>
      <c r="S105" s="48"/>
      <c r="T105" s="48"/>
      <c r="U105" s="673">
        <f t="shared" si="14"/>
        <v>0</v>
      </c>
      <c r="V105" s="673">
        <f t="shared" si="15"/>
        <v>0</v>
      </c>
      <c r="W105" s="77">
        <f t="shared" si="1"/>
        <v>0</v>
      </c>
      <c r="X105" s="43">
        <f t="shared" si="2"/>
        <v>0</v>
      </c>
      <c r="Y105" s="89">
        <f t="shared" si="3"/>
        <v>0</v>
      </c>
    </row>
    <row r="106" spans="1:25" x14ac:dyDescent="0.25">
      <c r="A106" s="350" t="s">
        <v>598</v>
      </c>
      <c r="B106" s="426"/>
      <c r="C106" s="677"/>
      <c r="D106" s="720"/>
      <c r="E106" s="677">
        <f t="shared" si="4"/>
        <v>0</v>
      </c>
      <c r="F106" s="677">
        <f t="shared" si="13"/>
        <v>0</v>
      </c>
      <c r="G106" s="677">
        <f t="shared" si="6"/>
        <v>0</v>
      </c>
      <c r="H106" s="718">
        <f t="shared" si="7"/>
        <v>0</v>
      </c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673">
        <f t="shared" si="14"/>
        <v>0</v>
      </c>
      <c r="V106" s="673">
        <f t="shared" si="15"/>
        <v>0</v>
      </c>
      <c r="W106" s="77">
        <f t="shared" si="1"/>
        <v>0</v>
      </c>
      <c r="X106" s="43">
        <f t="shared" si="2"/>
        <v>0</v>
      </c>
      <c r="Y106" s="89">
        <f t="shared" si="3"/>
        <v>0</v>
      </c>
    </row>
    <row r="107" spans="1:25" x14ac:dyDescent="0.25">
      <c r="A107" s="61" t="s">
        <v>227</v>
      </c>
      <c r="B107" s="46" t="s">
        <v>153</v>
      </c>
      <c r="C107" s="1318">
        <v>11000</v>
      </c>
      <c r="D107" s="421"/>
      <c r="E107" s="677">
        <f t="shared" si="4"/>
        <v>11000</v>
      </c>
      <c r="F107" s="677">
        <f t="shared" si="13"/>
        <v>7333.333333333333</v>
      </c>
      <c r="G107" s="677">
        <f t="shared" si="6"/>
        <v>916.66666666666663</v>
      </c>
      <c r="H107" s="718">
        <f t="shared" si="7"/>
        <v>8250</v>
      </c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673">
        <f t="shared" si="14"/>
        <v>0</v>
      </c>
      <c r="V107" s="673">
        <f t="shared" si="15"/>
        <v>0</v>
      </c>
      <c r="W107" s="77">
        <f t="shared" si="1"/>
        <v>0</v>
      </c>
      <c r="X107" s="43">
        <f t="shared" si="2"/>
        <v>8250</v>
      </c>
      <c r="Y107" s="89">
        <f t="shared" si="3"/>
        <v>11000</v>
      </c>
    </row>
    <row r="108" spans="1:25" x14ac:dyDescent="0.25">
      <c r="A108" s="285" t="s">
        <v>86</v>
      </c>
      <c r="B108" s="46" t="s">
        <v>87</v>
      </c>
      <c r="C108" s="1318">
        <v>4000</v>
      </c>
      <c r="D108" s="421"/>
      <c r="E108" s="677">
        <f t="shared" si="4"/>
        <v>4000</v>
      </c>
      <c r="F108" s="677">
        <f t="shared" si="13"/>
        <v>2666.6666666666665</v>
      </c>
      <c r="G108" s="677">
        <f t="shared" si="6"/>
        <v>333.33333333333331</v>
      </c>
      <c r="H108" s="718">
        <f t="shared" si="7"/>
        <v>3000</v>
      </c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673">
        <f t="shared" si="14"/>
        <v>0</v>
      </c>
      <c r="V108" s="673">
        <f t="shared" si="15"/>
        <v>0</v>
      </c>
      <c r="W108" s="77">
        <f t="shared" si="1"/>
        <v>0</v>
      </c>
      <c r="X108" s="43">
        <f t="shared" si="2"/>
        <v>3000</v>
      </c>
      <c r="Y108" s="89">
        <f t="shared" si="3"/>
        <v>4000</v>
      </c>
    </row>
    <row r="109" spans="1:25" x14ac:dyDescent="0.25">
      <c r="A109" s="61" t="s">
        <v>586</v>
      </c>
      <c r="B109" s="114" t="s">
        <v>93</v>
      </c>
      <c r="C109" s="1318">
        <v>20000</v>
      </c>
      <c r="D109" s="421"/>
      <c r="E109" s="677">
        <f t="shared" si="4"/>
        <v>20000</v>
      </c>
      <c r="F109" s="677">
        <f t="shared" si="13"/>
        <v>13333.333333333334</v>
      </c>
      <c r="G109" s="677">
        <f t="shared" si="6"/>
        <v>1666.6666666666667</v>
      </c>
      <c r="H109" s="718">
        <f t="shared" si="7"/>
        <v>15000</v>
      </c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673">
        <f t="shared" si="14"/>
        <v>0</v>
      </c>
      <c r="V109" s="673">
        <f t="shared" si="15"/>
        <v>0</v>
      </c>
      <c r="W109" s="77">
        <f t="shared" si="1"/>
        <v>0</v>
      </c>
      <c r="X109" s="43">
        <f t="shared" si="2"/>
        <v>15000</v>
      </c>
      <c r="Y109" s="89">
        <f t="shared" si="3"/>
        <v>20000</v>
      </c>
    </row>
    <row r="110" spans="1:25" x14ac:dyDescent="0.25">
      <c r="A110" s="61" t="s">
        <v>274</v>
      </c>
      <c r="B110" s="46" t="s">
        <v>104</v>
      </c>
      <c r="C110" s="1318"/>
      <c r="D110" s="421"/>
      <c r="E110" s="677">
        <f t="shared" si="4"/>
        <v>0</v>
      </c>
      <c r="F110" s="677">
        <f t="shared" si="13"/>
        <v>0</v>
      </c>
      <c r="G110" s="677">
        <f t="shared" si="6"/>
        <v>0</v>
      </c>
      <c r="H110" s="718">
        <f t="shared" si="7"/>
        <v>0</v>
      </c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673">
        <f t="shared" si="14"/>
        <v>0</v>
      </c>
      <c r="V110" s="673">
        <f t="shared" si="15"/>
        <v>0</v>
      </c>
      <c r="W110" s="77">
        <f t="shared" ref="W110:W111" si="16">U110+V110</f>
        <v>0</v>
      </c>
      <c r="X110" s="43">
        <f t="shared" ref="X110:X111" si="17">H110-W110</f>
        <v>0</v>
      </c>
      <c r="Y110" s="89">
        <f t="shared" ref="Y110:Y111" si="18">E110-W110</f>
        <v>0</v>
      </c>
    </row>
    <row r="111" spans="1:25" x14ac:dyDescent="0.25">
      <c r="A111" s="276" t="s">
        <v>599</v>
      </c>
      <c r="B111" s="46"/>
      <c r="C111" s="1318">
        <v>135000</v>
      </c>
      <c r="D111" s="421"/>
      <c r="E111" s="677">
        <f t="shared" ref="E111" si="19">SUM(C111:D111)</f>
        <v>135000</v>
      </c>
      <c r="F111" s="677">
        <f t="shared" si="13"/>
        <v>90000</v>
      </c>
      <c r="G111" s="677">
        <f t="shared" ref="G111" si="20">E111/12</f>
        <v>11250</v>
      </c>
      <c r="H111" s="718">
        <f t="shared" ref="H111" si="21">F111+G111</f>
        <v>101250</v>
      </c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673">
        <f t="shared" si="14"/>
        <v>0</v>
      </c>
      <c r="V111" s="673">
        <f t="shared" si="15"/>
        <v>0</v>
      </c>
      <c r="W111" s="77">
        <f t="shared" si="16"/>
        <v>0</v>
      </c>
      <c r="X111" s="43">
        <f t="shared" si="17"/>
        <v>101250</v>
      </c>
      <c r="Y111" s="89">
        <f t="shared" si="18"/>
        <v>135000</v>
      </c>
    </row>
    <row r="112" spans="1:25" s="21" customFormat="1" x14ac:dyDescent="0.25">
      <c r="A112" s="110" t="s">
        <v>108</v>
      </c>
      <c r="B112" s="408"/>
      <c r="C112" s="614">
        <f>SUM(C8:C111)</f>
        <v>1527500</v>
      </c>
      <c r="D112" s="123">
        <f t="shared" ref="D112:Y112" si="22">SUM(D8:D111)</f>
        <v>0</v>
      </c>
      <c r="E112" s="123">
        <f t="shared" si="22"/>
        <v>1527500</v>
      </c>
      <c r="F112" s="123">
        <f t="shared" si="22"/>
        <v>1018333.3333333334</v>
      </c>
      <c r="G112" s="123">
        <f t="shared" si="22"/>
        <v>127291.66666666667</v>
      </c>
      <c r="H112" s="123">
        <f t="shared" si="22"/>
        <v>1145625</v>
      </c>
      <c r="I112" s="123">
        <f t="shared" si="22"/>
        <v>0</v>
      </c>
      <c r="J112" s="123">
        <f t="shared" si="22"/>
        <v>0</v>
      </c>
      <c r="K112" s="123">
        <f t="shared" si="22"/>
        <v>0</v>
      </c>
      <c r="L112" s="123">
        <f t="shared" si="22"/>
        <v>0</v>
      </c>
      <c r="M112" s="123">
        <f t="shared" si="22"/>
        <v>0</v>
      </c>
      <c r="N112" s="123">
        <f t="shared" si="22"/>
        <v>0</v>
      </c>
      <c r="O112" s="123">
        <f t="shared" si="22"/>
        <v>0</v>
      </c>
      <c r="P112" s="123">
        <f t="shared" si="22"/>
        <v>0</v>
      </c>
      <c r="Q112" s="123">
        <f t="shared" si="22"/>
        <v>0</v>
      </c>
      <c r="R112" s="123">
        <f t="shared" si="22"/>
        <v>321600</v>
      </c>
      <c r="S112" s="123">
        <f t="shared" si="22"/>
        <v>0</v>
      </c>
      <c r="T112" s="123">
        <f t="shared" si="22"/>
        <v>0</v>
      </c>
      <c r="U112" s="123">
        <f t="shared" si="22"/>
        <v>0</v>
      </c>
      <c r="V112" s="123">
        <f t="shared" si="22"/>
        <v>321600</v>
      </c>
      <c r="W112" s="123">
        <f t="shared" si="22"/>
        <v>321600</v>
      </c>
      <c r="X112" s="123">
        <f t="shared" si="22"/>
        <v>824025</v>
      </c>
      <c r="Y112" s="123">
        <f t="shared" si="22"/>
        <v>1205900</v>
      </c>
    </row>
    <row r="113" spans="1:25" s="21" customFormat="1" ht="15.75" thickBot="1" x14ac:dyDescent="0.3">
      <c r="A113" s="156" t="s">
        <v>160</v>
      </c>
      <c r="B113" s="157"/>
      <c r="C113" s="633">
        <f>C112</f>
        <v>1527500</v>
      </c>
      <c r="D113" s="364">
        <f t="shared" ref="D113:Y113" si="23">D112</f>
        <v>0</v>
      </c>
      <c r="E113" s="364">
        <f t="shared" si="23"/>
        <v>1527500</v>
      </c>
      <c r="F113" s="364">
        <f t="shared" si="23"/>
        <v>1018333.3333333334</v>
      </c>
      <c r="G113" s="364">
        <f t="shared" si="23"/>
        <v>127291.66666666667</v>
      </c>
      <c r="H113" s="364">
        <f t="shared" si="23"/>
        <v>1145625</v>
      </c>
      <c r="I113" s="364">
        <f t="shared" si="23"/>
        <v>0</v>
      </c>
      <c r="J113" s="364">
        <f t="shared" si="23"/>
        <v>0</v>
      </c>
      <c r="K113" s="364">
        <f t="shared" si="23"/>
        <v>0</v>
      </c>
      <c r="L113" s="364">
        <f t="shared" si="23"/>
        <v>0</v>
      </c>
      <c r="M113" s="364">
        <f t="shared" si="23"/>
        <v>0</v>
      </c>
      <c r="N113" s="364">
        <f t="shared" si="23"/>
        <v>0</v>
      </c>
      <c r="O113" s="364">
        <f t="shared" si="23"/>
        <v>0</v>
      </c>
      <c r="P113" s="364">
        <f t="shared" si="23"/>
        <v>0</v>
      </c>
      <c r="Q113" s="364">
        <f t="shared" si="23"/>
        <v>0</v>
      </c>
      <c r="R113" s="364">
        <f t="shared" si="23"/>
        <v>321600</v>
      </c>
      <c r="S113" s="364">
        <f t="shared" si="23"/>
        <v>0</v>
      </c>
      <c r="T113" s="364">
        <f t="shared" si="23"/>
        <v>0</v>
      </c>
      <c r="U113" s="364">
        <f t="shared" si="23"/>
        <v>0</v>
      </c>
      <c r="V113" s="364">
        <f t="shared" si="23"/>
        <v>321600</v>
      </c>
      <c r="W113" s="364">
        <f t="shared" si="23"/>
        <v>321600</v>
      </c>
      <c r="X113" s="364">
        <f t="shared" si="23"/>
        <v>824025</v>
      </c>
      <c r="Y113" s="364">
        <f t="shared" si="23"/>
        <v>1205900</v>
      </c>
    </row>
    <row r="114" spans="1:25" ht="15.75" thickTop="1" x14ac:dyDescent="0.25"/>
    <row r="116" spans="1:25" x14ac:dyDescent="0.25">
      <c r="A116" t="s">
        <v>354</v>
      </c>
      <c r="B116" s="30"/>
      <c r="C116" s="35"/>
      <c r="D116" s="35"/>
      <c r="E116" s="35"/>
      <c r="F116" s="35"/>
      <c r="G116" s="35"/>
      <c r="X116" s="259" t="s">
        <v>357</v>
      </c>
    </row>
    <row r="117" spans="1:25" x14ac:dyDescent="0.25">
      <c r="B117" s="30"/>
      <c r="C117" s="35"/>
      <c r="D117" s="35"/>
      <c r="E117" s="35"/>
      <c r="F117" s="35"/>
      <c r="G117" s="35"/>
      <c r="X117" s="259"/>
    </row>
    <row r="118" spans="1:25" x14ac:dyDescent="0.25">
      <c r="B118" s="32"/>
      <c r="C118" s="36"/>
      <c r="D118" s="36"/>
      <c r="E118" s="36"/>
      <c r="F118" s="36"/>
      <c r="G118" s="36"/>
    </row>
    <row r="119" spans="1:25" x14ac:dyDescent="0.25">
      <c r="A119" s="258" t="s">
        <v>355</v>
      </c>
      <c r="B119" s="14"/>
      <c r="C119" s="36"/>
      <c r="D119" s="31"/>
      <c r="E119" s="31"/>
      <c r="F119" s="31"/>
      <c r="G119" s="31"/>
      <c r="X119" s="260" t="s">
        <v>358</v>
      </c>
    </row>
    <row r="120" spans="1:25" x14ac:dyDescent="0.25">
      <c r="A120" s="259" t="s">
        <v>356</v>
      </c>
      <c r="X120" s="259" t="s">
        <v>359</v>
      </c>
    </row>
  </sheetData>
  <mergeCells count="4">
    <mergeCell ref="A1:W1"/>
    <mergeCell ref="A2:W2"/>
    <mergeCell ref="A3:W3"/>
    <mergeCell ref="D4:D5"/>
  </mergeCells>
  <printOptions horizontalCentered="1" headings="1"/>
  <pageMargins left="0.1" right="0.2" top="0.75" bottom="0.25" header="0.3" footer="0.3"/>
  <pageSetup paperSize="5" scale="75" orientation="landscape" r:id="rId1"/>
  <rowBreaks count="1" manualBreakCount="1">
    <brk id="4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view="pageBreakPreview" topLeftCell="A27" zoomScale="84" zoomScaleNormal="96" zoomScaleSheetLayoutView="84" workbookViewId="0">
      <pane xSplit="1" topLeftCell="W1" activePane="topRight" state="frozen"/>
      <selection pane="topRight" activeCell="W59" sqref="W59"/>
    </sheetView>
  </sheetViews>
  <sheetFormatPr defaultRowHeight="15" outlineLevelCol="1" x14ac:dyDescent="0.25"/>
  <cols>
    <col min="1" max="1" width="44.5703125" style="712" customWidth="1"/>
    <col min="2" max="2" width="14.28515625" style="712" customWidth="1"/>
    <col min="3" max="3" width="13.140625" style="712" customWidth="1"/>
    <col min="4" max="4" width="13.140625" style="987" customWidth="1"/>
    <col min="5" max="6" width="13.140625" style="1025" customWidth="1"/>
    <col min="7" max="9" width="16.140625" style="712" customWidth="1"/>
    <col min="10" max="10" width="12.7109375" style="712"/>
    <col min="11" max="11" width="10.85546875" style="712" hidden="1" customWidth="1" outlineLevel="1"/>
    <col min="12" max="12" width="11.7109375" style="303" hidden="1" customWidth="1" outlineLevel="1"/>
    <col min="13" max="13" width="16" style="303" hidden="1" customWidth="1" outlineLevel="1"/>
    <col min="14" max="14" width="11" style="303" hidden="1" customWidth="1" outlineLevel="1"/>
    <col min="15" max="15" width="15.85546875" style="303" hidden="1" customWidth="1" outlineLevel="1"/>
    <col min="16" max="16" width="9.140625" style="712" hidden="1" customWidth="1" outlineLevel="1"/>
    <col min="17" max="17" width="12.140625" style="303" hidden="1" customWidth="1" outlineLevel="1"/>
    <col min="18" max="18" width="11" style="303" hidden="1" customWidth="1" outlineLevel="1"/>
    <col min="19" max="19" width="12" style="303" hidden="1" customWidth="1" outlineLevel="1"/>
    <col min="20" max="20" width="12.140625" style="712" hidden="1" customWidth="1" outlineLevel="1"/>
    <col min="21" max="22" width="9.140625" style="712" hidden="1" customWidth="1" outlineLevel="1"/>
    <col min="23" max="23" width="13.7109375" style="712" customWidth="1" collapsed="1"/>
    <col min="24" max="24" width="12" style="712" customWidth="1"/>
    <col min="25" max="25" width="11.42578125" style="712" customWidth="1"/>
    <col min="26" max="26" width="11.7109375" style="712" customWidth="1"/>
    <col min="27" max="27" width="12.5703125" style="712" customWidth="1"/>
    <col min="28" max="16384" width="9.140625" style="712"/>
  </cols>
  <sheetData>
    <row r="1" spans="1:27" x14ac:dyDescent="0.25">
      <c r="A1" s="1432" t="s">
        <v>352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1432"/>
      <c r="M1" s="1432"/>
      <c r="N1" s="1432"/>
      <c r="O1" s="1432"/>
      <c r="P1" s="1432"/>
      <c r="Q1" s="1432"/>
      <c r="R1" s="1432"/>
      <c r="S1" s="1432"/>
      <c r="T1" s="1432"/>
      <c r="U1" s="1432"/>
      <c r="V1" s="1432"/>
      <c r="W1" s="1432"/>
      <c r="X1" s="1432"/>
      <c r="Y1" s="1432"/>
    </row>
    <row r="2" spans="1:27" x14ac:dyDescent="0.25">
      <c r="A2" s="1432" t="s">
        <v>353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1432"/>
      <c r="Y2" s="1432"/>
    </row>
    <row r="3" spans="1:27" ht="15.75" thickBot="1" x14ac:dyDescent="0.3">
      <c r="A3" s="1433" t="str">
        <f>'1019-NDRRM-ADMIN'!A3:X3</f>
        <v>For the Period October 1-31, 2021</v>
      </c>
      <c r="B3" s="1433"/>
      <c r="C3" s="1433"/>
      <c r="D3" s="1433"/>
      <c r="E3" s="1433"/>
      <c r="F3" s="1433"/>
      <c r="G3" s="1433"/>
      <c r="H3" s="1433"/>
      <c r="I3" s="1433"/>
      <c r="J3" s="1433"/>
      <c r="K3" s="1433"/>
      <c r="L3" s="1433"/>
      <c r="M3" s="1433"/>
      <c r="N3" s="1433"/>
      <c r="O3" s="1433"/>
      <c r="P3" s="1433"/>
      <c r="Q3" s="1433"/>
      <c r="R3" s="1433"/>
      <c r="S3" s="1433"/>
      <c r="T3" s="1433"/>
      <c r="U3" s="1433"/>
      <c r="V3" s="1433"/>
      <c r="W3" s="1433"/>
      <c r="X3" s="1433"/>
      <c r="Y3" s="1433"/>
      <c r="Z3" s="1096"/>
      <c r="AA3" s="1096"/>
    </row>
    <row r="4" spans="1:27" ht="27" thickTop="1" x14ac:dyDescent="0.25">
      <c r="A4" s="71" t="s">
        <v>347</v>
      </c>
      <c r="B4" s="711" t="s">
        <v>2</v>
      </c>
      <c r="C4" s="263" t="s">
        <v>133</v>
      </c>
      <c r="D4" s="1073" t="s">
        <v>1204</v>
      </c>
      <c r="E4" s="1073" t="s">
        <v>1204</v>
      </c>
      <c r="F4" s="1073" t="s">
        <v>1227</v>
      </c>
      <c r="G4" s="71" t="s">
        <v>1</v>
      </c>
      <c r="H4" s="71" t="s">
        <v>316</v>
      </c>
      <c r="I4" s="71" t="s">
        <v>314</v>
      </c>
      <c r="J4" s="74" t="s">
        <v>346</v>
      </c>
      <c r="K4" s="262"/>
      <c r="L4" s="19"/>
      <c r="M4" s="19"/>
      <c r="N4" s="19"/>
      <c r="O4" s="24"/>
      <c r="P4" s="24"/>
      <c r="Q4" s="24"/>
      <c r="R4" s="24"/>
      <c r="S4" s="24"/>
      <c r="T4" s="24"/>
      <c r="U4" s="24"/>
      <c r="V4" s="24"/>
      <c r="W4" s="74" t="s">
        <v>316</v>
      </c>
      <c r="X4" s="74" t="s">
        <v>348</v>
      </c>
      <c r="Y4" s="74" t="s">
        <v>1</v>
      </c>
      <c r="Z4" s="724" t="s">
        <v>131</v>
      </c>
      <c r="AA4" s="724" t="s">
        <v>131</v>
      </c>
    </row>
    <row r="5" spans="1:27" x14ac:dyDescent="0.25">
      <c r="A5" s="711"/>
      <c r="B5" s="711" t="s">
        <v>3</v>
      </c>
      <c r="C5" s="711" t="s">
        <v>134</v>
      </c>
      <c r="D5" s="1009" t="s">
        <v>1354</v>
      </c>
      <c r="E5" s="1009" t="s">
        <v>1184</v>
      </c>
      <c r="F5" s="1101">
        <v>44305</v>
      </c>
      <c r="G5" s="730" t="s">
        <v>314</v>
      </c>
      <c r="H5" s="730" t="s">
        <v>314</v>
      </c>
      <c r="I5" s="730" t="s">
        <v>315</v>
      </c>
      <c r="J5" s="74" t="s">
        <v>315</v>
      </c>
      <c r="K5" s="20" t="s">
        <v>0</v>
      </c>
      <c r="L5" s="20" t="s">
        <v>120</v>
      </c>
      <c r="M5" s="20" t="s">
        <v>121</v>
      </c>
      <c r="N5" s="20" t="s">
        <v>122</v>
      </c>
      <c r="O5" s="20" t="s">
        <v>123</v>
      </c>
      <c r="P5" s="20" t="s">
        <v>124</v>
      </c>
      <c r="Q5" s="20" t="s">
        <v>125</v>
      </c>
      <c r="R5" s="20" t="s">
        <v>126</v>
      </c>
      <c r="S5" s="20" t="s">
        <v>127</v>
      </c>
      <c r="T5" s="20" t="s">
        <v>128</v>
      </c>
      <c r="U5" s="20" t="s">
        <v>129</v>
      </c>
      <c r="V5" s="20" t="s">
        <v>130</v>
      </c>
      <c r="W5" s="724" t="s">
        <v>317</v>
      </c>
      <c r="X5" s="724" t="s">
        <v>315</v>
      </c>
      <c r="Y5" s="724" t="s">
        <v>317</v>
      </c>
      <c r="Z5" s="724" t="s">
        <v>314</v>
      </c>
      <c r="AA5" s="724" t="s">
        <v>132</v>
      </c>
    </row>
    <row r="6" spans="1:27" x14ac:dyDescent="0.25">
      <c r="A6" s="294" t="s">
        <v>366</v>
      </c>
      <c r="B6" s="736"/>
      <c r="C6" s="736"/>
      <c r="D6" s="937"/>
      <c r="E6" s="452"/>
      <c r="F6" s="452"/>
      <c r="G6" s="736"/>
      <c r="H6" s="736"/>
      <c r="I6" s="736"/>
      <c r="J6" s="736"/>
      <c r="K6" s="736"/>
      <c r="L6" s="997"/>
      <c r="M6" s="997"/>
      <c r="N6" s="997"/>
      <c r="O6" s="997"/>
      <c r="P6" s="736"/>
      <c r="Q6" s="997"/>
      <c r="R6" s="997"/>
      <c r="S6" s="997"/>
      <c r="T6" s="736"/>
      <c r="U6" s="736"/>
      <c r="V6" s="736"/>
      <c r="W6" s="736"/>
      <c r="X6" s="736"/>
      <c r="Y6" s="937"/>
      <c r="Z6" s="736"/>
      <c r="AA6" s="736"/>
    </row>
    <row r="7" spans="1:27" x14ac:dyDescent="0.25">
      <c r="A7" s="110" t="s">
        <v>231</v>
      </c>
      <c r="B7" s="150"/>
      <c r="C7" s="736"/>
      <c r="D7" s="937"/>
      <c r="E7" s="452"/>
      <c r="F7" s="452"/>
      <c r="G7" s="736"/>
      <c r="H7" s="736"/>
      <c r="I7" s="736"/>
      <c r="J7" s="736"/>
      <c r="K7" s="736"/>
      <c r="L7" s="997"/>
      <c r="M7" s="997"/>
      <c r="N7" s="997"/>
      <c r="O7" s="997"/>
      <c r="P7" s="736"/>
      <c r="Q7" s="997"/>
      <c r="R7" s="997"/>
      <c r="S7" s="997"/>
      <c r="T7" s="736"/>
      <c r="U7" s="736"/>
      <c r="V7" s="736"/>
      <c r="W7" s="736"/>
      <c r="X7" s="736"/>
      <c r="Y7" s="989"/>
      <c r="Z7" s="716">
        <f t="shared" ref="Z7:Z17" si="0">J7-Y7</f>
        <v>0</v>
      </c>
      <c r="AA7" s="736"/>
    </row>
    <row r="8" spans="1:27" x14ac:dyDescent="0.25">
      <c r="A8" s="365" t="s">
        <v>139</v>
      </c>
      <c r="B8" s="409" t="s">
        <v>43</v>
      </c>
      <c r="C8" s="414">
        <v>25000</v>
      </c>
      <c r="D8" s="414"/>
      <c r="E8" s="1028"/>
      <c r="F8" s="1028"/>
      <c r="G8" s="677">
        <f>SUM(C8:E8)+F8</f>
        <v>25000</v>
      </c>
      <c r="H8" s="677">
        <f>G8/12*9</f>
        <v>18750</v>
      </c>
      <c r="I8" s="677">
        <f>G8/12</f>
        <v>2083.3333333333335</v>
      </c>
      <c r="J8" s="716">
        <f t="shared" ref="J8:J40" si="1">H8+I8</f>
        <v>20833.333333333332</v>
      </c>
      <c r="K8" s="736"/>
      <c r="L8" s="997"/>
      <c r="M8" s="997">
        <v>5360</v>
      </c>
      <c r="N8" s="997">
        <v>2640</v>
      </c>
      <c r="O8" s="997">
        <v>1340</v>
      </c>
      <c r="P8" s="736">
        <v>2220</v>
      </c>
      <c r="Q8" s="997">
        <v>3000</v>
      </c>
      <c r="R8" s="997"/>
      <c r="S8" s="997"/>
      <c r="T8" s="736">
        <v>4020</v>
      </c>
      <c r="U8" s="736"/>
      <c r="V8" s="736"/>
      <c r="W8" s="997">
        <f>K8+L8+M8+N8+O8+P8+Q8+R8+S8</f>
        <v>14560</v>
      </c>
      <c r="X8" s="997">
        <f>T8</f>
        <v>4020</v>
      </c>
      <c r="Y8" s="989">
        <f>W8+X8</f>
        <v>18580</v>
      </c>
      <c r="Z8" s="716">
        <f>J8-Y8</f>
        <v>2253.3333333333321</v>
      </c>
      <c r="AA8" s="322">
        <f t="shared" ref="AA8:AA17" si="2">G8-Y8</f>
        <v>6420</v>
      </c>
    </row>
    <row r="9" spans="1:27" x14ac:dyDescent="0.25">
      <c r="A9" s="365" t="s">
        <v>538</v>
      </c>
      <c r="B9" s="409" t="s">
        <v>140</v>
      </c>
      <c r="C9" s="414">
        <v>10000</v>
      </c>
      <c r="D9" s="414">
        <v>5060</v>
      </c>
      <c r="E9" s="1028"/>
      <c r="F9" s="1028"/>
      <c r="G9" s="677">
        <f>SUM(C9:E9)+F9</f>
        <v>15060</v>
      </c>
      <c r="H9" s="677">
        <f t="shared" ref="H9:H41" si="3">G9/12*9</f>
        <v>11295</v>
      </c>
      <c r="I9" s="677">
        <f t="shared" ref="I9:I40" si="4">G9/12</f>
        <v>1255</v>
      </c>
      <c r="J9" s="716">
        <f t="shared" si="1"/>
        <v>12550</v>
      </c>
      <c r="K9" s="736"/>
      <c r="L9" s="997"/>
      <c r="M9" s="997"/>
      <c r="N9" s="997"/>
      <c r="O9" s="997"/>
      <c r="P9" s="736"/>
      <c r="Q9" s="997">
        <v>5060</v>
      </c>
      <c r="R9" s="997"/>
      <c r="S9" s="997"/>
      <c r="T9" s="1277">
        <v>500</v>
      </c>
      <c r="U9" s="736"/>
      <c r="V9" s="736"/>
      <c r="W9" s="997">
        <f t="shared" ref="W9:W41" si="5">K9+L9+M9+N9+O9+P9+Q9+R9+S9</f>
        <v>5060</v>
      </c>
      <c r="X9" s="997">
        <f t="shared" ref="X9:X41" si="6">T9</f>
        <v>500</v>
      </c>
      <c r="Y9" s="989">
        <f t="shared" ref="Y9:Y17" si="7">W9+X9</f>
        <v>5560</v>
      </c>
      <c r="Z9" s="716">
        <f t="shared" si="0"/>
        <v>6990</v>
      </c>
      <c r="AA9" s="322">
        <f t="shared" si="2"/>
        <v>9500</v>
      </c>
    </row>
    <row r="10" spans="1:27" x14ac:dyDescent="0.25">
      <c r="A10" s="162" t="s">
        <v>539</v>
      </c>
      <c r="B10" s="409"/>
      <c r="C10" s="414">
        <v>80000</v>
      </c>
      <c r="D10" s="414"/>
      <c r="E10" s="1028"/>
      <c r="F10" s="1028">
        <v>17000</v>
      </c>
      <c r="G10" s="677">
        <f t="shared" ref="G10:G41" si="8">SUM(C10:E10)+F10</f>
        <v>97000</v>
      </c>
      <c r="H10" s="677">
        <f t="shared" si="3"/>
        <v>72750</v>
      </c>
      <c r="I10" s="677">
        <f t="shared" si="4"/>
        <v>8083.333333333333</v>
      </c>
      <c r="J10" s="716">
        <f t="shared" si="1"/>
        <v>80833.333333333328</v>
      </c>
      <c r="K10" s="736"/>
      <c r="L10" s="997">
        <v>48025</v>
      </c>
      <c r="M10" s="997">
        <v>28025</v>
      </c>
      <c r="N10" s="997"/>
      <c r="O10" s="997">
        <v>9300</v>
      </c>
      <c r="P10" s="736"/>
      <c r="Q10" s="997"/>
      <c r="R10" s="997"/>
      <c r="S10" s="1077">
        <v>11000</v>
      </c>
      <c r="T10" s="736"/>
      <c r="U10" s="736"/>
      <c r="V10" s="736"/>
      <c r="W10" s="997">
        <f t="shared" si="5"/>
        <v>96350</v>
      </c>
      <c r="X10" s="997">
        <f t="shared" si="6"/>
        <v>0</v>
      </c>
      <c r="Y10" s="989">
        <f t="shared" si="7"/>
        <v>96350</v>
      </c>
      <c r="Z10" s="716">
        <f t="shared" si="0"/>
        <v>-15516.666666666672</v>
      </c>
      <c r="AA10" s="322">
        <f t="shared" si="2"/>
        <v>650</v>
      </c>
    </row>
    <row r="11" spans="1:27" x14ac:dyDescent="0.25">
      <c r="A11" s="162" t="s">
        <v>540</v>
      </c>
      <c r="B11" s="409"/>
      <c r="C11" s="414">
        <v>10000</v>
      </c>
      <c r="D11" s="414"/>
      <c r="E11" s="1028"/>
      <c r="F11" s="1028"/>
      <c r="G11" s="677">
        <f t="shared" si="8"/>
        <v>10000</v>
      </c>
      <c r="H11" s="677">
        <f t="shared" si="3"/>
        <v>7500</v>
      </c>
      <c r="I11" s="677">
        <f t="shared" si="4"/>
        <v>833.33333333333337</v>
      </c>
      <c r="J11" s="716">
        <f t="shared" si="1"/>
        <v>8333.3333333333339</v>
      </c>
      <c r="K11" s="736"/>
      <c r="L11" s="997"/>
      <c r="M11" s="997"/>
      <c r="N11" s="997"/>
      <c r="O11" s="997"/>
      <c r="P11" s="736"/>
      <c r="Q11" s="997"/>
      <c r="R11" s="997"/>
      <c r="S11" s="997"/>
      <c r="T11" s="736"/>
      <c r="U11" s="736"/>
      <c r="V11" s="736"/>
      <c r="W11" s="997">
        <f t="shared" si="5"/>
        <v>0</v>
      </c>
      <c r="X11" s="997">
        <f t="shared" si="6"/>
        <v>0</v>
      </c>
      <c r="Y11" s="989">
        <f t="shared" si="7"/>
        <v>0</v>
      </c>
      <c r="Z11" s="716">
        <f t="shared" si="0"/>
        <v>8333.3333333333339</v>
      </c>
      <c r="AA11" s="322">
        <f t="shared" si="2"/>
        <v>10000</v>
      </c>
    </row>
    <row r="12" spans="1:27" x14ac:dyDescent="0.25">
      <c r="A12" s="276" t="s">
        <v>541</v>
      </c>
      <c r="B12" s="411"/>
      <c r="C12" s="414">
        <v>10000</v>
      </c>
      <c r="D12" s="414"/>
      <c r="E12" s="1028"/>
      <c r="F12" s="1028"/>
      <c r="G12" s="677">
        <f t="shared" si="8"/>
        <v>10000</v>
      </c>
      <c r="H12" s="677">
        <f t="shared" si="3"/>
        <v>7500</v>
      </c>
      <c r="I12" s="677">
        <f t="shared" si="4"/>
        <v>833.33333333333337</v>
      </c>
      <c r="J12" s="716">
        <f t="shared" si="1"/>
        <v>8333.3333333333339</v>
      </c>
      <c r="K12" s="736"/>
      <c r="L12" s="997"/>
      <c r="M12" s="997"/>
      <c r="N12" s="997"/>
      <c r="O12" s="997"/>
      <c r="P12" s="736"/>
      <c r="Q12" s="997"/>
      <c r="R12" s="997"/>
      <c r="S12" s="997"/>
      <c r="T12" s="736"/>
      <c r="U12" s="736"/>
      <c r="V12" s="736"/>
      <c r="W12" s="997">
        <f t="shared" si="5"/>
        <v>0</v>
      </c>
      <c r="X12" s="997">
        <f t="shared" si="6"/>
        <v>0</v>
      </c>
      <c r="Y12" s="989">
        <f t="shared" si="7"/>
        <v>0</v>
      </c>
      <c r="Z12" s="716">
        <f t="shared" si="0"/>
        <v>8333.3333333333339</v>
      </c>
      <c r="AA12" s="322">
        <f t="shared" si="2"/>
        <v>10000</v>
      </c>
    </row>
    <row r="13" spans="1:27" x14ac:dyDescent="0.25">
      <c r="A13" s="365" t="s">
        <v>50</v>
      </c>
      <c r="B13" s="409" t="s">
        <v>51</v>
      </c>
      <c r="C13" s="414">
        <v>31600</v>
      </c>
      <c r="D13" s="414"/>
      <c r="E13" s="1028"/>
      <c r="F13" s="1028">
        <v>30000</v>
      </c>
      <c r="G13" s="677">
        <f t="shared" si="8"/>
        <v>61600</v>
      </c>
      <c r="H13" s="677">
        <f t="shared" si="3"/>
        <v>46200</v>
      </c>
      <c r="I13" s="677">
        <f t="shared" si="4"/>
        <v>5133.333333333333</v>
      </c>
      <c r="J13" s="716">
        <f t="shared" si="1"/>
        <v>51333.333333333336</v>
      </c>
      <c r="K13" s="736"/>
      <c r="L13" s="997">
        <v>960</v>
      </c>
      <c r="M13" s="997">
        <v>6603</v>
      </c>
      <c r="N13" s="997"/>
      <c r="O13" s="997"/>
      <c r="P13" s="736">
        <f>2170+2934</f>
        <v>5104</v>
      </c>
      <c r="Q13" s="997">
        <v>2300</v>
      </c>
      <c r="R13" s="997">
        <v>570</v>
      </c>
      <c r="S13" s="997">
        <f>2517+29560</f>
        <v>32077</v>
      </c>
      <c r="T13" s="736"/>
      <c r="U13" s="736"/>
      <c r="V13" s="736"/>
      <c r="W13" s="997">
        <f t="shared" si="5"/>
        <v>47614</v>
      </c>
      <c r="X13" s="997">
        <f t="shared" si="6"/>
        <v>0</v>
      </c>
      <c r="Y13" s="989">
        <f t="shared" si="7"/>
        <v>47614</v>
      </c>
      <c r="Z13" s="716">
        <f t="shared" si="0"/>
        <v>3719.3333333333358</v>
      </c>
      <c r="AA13" s="322">
        <f t="shared" si="2"/>
        <v>13986</v>
      </c>
    </row>
    <row r="14" spans="1:27" x14ac:dyDescent="0.25">
      <c r="A14" s="61" t="s">
        <v>542</v>
      </c>
      <c r="B14" s="411" t="s">
        <v>150</v>
      </c>
      <c r="C14" s="414"/>
      <c r="D14" s="414"/>
      <c r="E14" s="1028"/>
      <c r="F14" s="1028"/>
      <c r="G14" s="677">
        <f t="shared" si="8"/>
        <v>0</v>
      </c>
      <c r="H14" s="677">
        <f t="shared" si="3"/>
        <v>0</v>
      </c>
      <c r="I14" s="677">
        <f t="shared" si="4"/>
        <v>0</v>
      </c>
      <c r="J14" s="716">
        <f t="shared" si="1"/>
        <v>0</v>
      </c>
      <c r="K14" s="736"/>
      <c r="L14" s="997"/>
      <c r="M14" s="997"/>
      <c r="N14" s="997"/>
      <c r="O14" s="997"/>
      <c r="P14" s="736"/>
      <c r="Q14" s="997"/>
      <c r="R14" s="997"/>
      <c r="S14" s="997"/>
      <c r="T14" s="736"/>
      <c r="U14" s="736"/>
      <c r="V14" s="736"/>
      <c r="W14" s="997">
        <f t="shared" si="5"/>
        <v>0</v>
      </c>
      <c r="X14" s="997">
        <f t="shared" si="6"/>
        <v>0</v>
      </c>
      <c r="Y14" s="989">
        <f t="shared" si="7"/>
        <v>0</v>
      </c>
      <c r="Z14" s="716"/>
      <c r="AA14" s="322">
        <f t="shared" si="2"/>
        <v>0</v>
      </c>
    </row>
    <row r="15" spans="1:27" x14ac:dyDescent="0.25">
      <c r="A15" s="276" t="s">
        <v>543</v>
      </c>
      <c r="B15" s="411"/>
      <c r="C15" s="414">
        <v>43000</v>
      </c>
      <c r="D15" s="414"/>
      <c r="E15" s="1028"/>
      <c r="F15" s="1028"/>
      <c r="G15" s="677">
        <f t="shared" si="8"/>
        <v>43000</v>
      </c>
      <c r="H15" s="677">
        <f t="shared" si="3"/>
        <v>32250</v>
      </c>
      <c r="I15" s="677">
        <f t="shared" si="4"/>
        <v>3583.3333333333335</v>
      </c>
      <c r="J15" s="716">
        <f t="shared" si="1"/>
        <v>35833.333333333336</v>
      </c>
      <c r="K15" s="736"/>
      <c r="L15" s="997"/>
      <c r="M15" s="997"/>
      <c r="N15" s="997">
        <v>43000</v>
      </c>
      <c r="O15" s="997"/>
      <c r="P15" s="736"/>
      <c r="Q15" s="997"/>
      <c r="R15" s="997"/>
      <c r="S15" s="997"/>
      <c r="T15" s="736"/>
      <c r="U15" s="736"/>
      <c r="V15" s="736"/>
      <c r="W15" s="997">
        <f t="shared" si="5"/>
        <v>43000</v>
      </c>
      <c r="X15" s="997">
        <f t="shared" si="6"/>
        <v>0</v>
      </c>
      <c r="Y15" s="989">
        <f t="shared" si="7"/>
        <v>43000</v>
      </c>
      <c r="Z15" s="716">
        <f t="shared" si="0"/>
        <v>-7166.6666666666642</v>
      </c>
      <c r="AA15" s="322">
        <f t="shared" si="2"/>
        <v>0</v>
      </c>
    </row>
    <row r="16" spans="1:27" x14ac:dyDescent="0.25">
      <c r="A16" s="276" t="s">
        <v>544</v>
      </c>
      <c r="B16" s="411"/>
      <c r="C16" s="414">
        <v>10000</v>
      </c>
      <c r="D16" s="414"/>
      <c r="E16" s="1028"/>
      <c r="F16" s="1028"/>
      <c r="G16" s="677">
        <f t="shared" si="8"/>
        <v>10000</v>
      </c>
      <c r="H16" s="677">
        <f t="shared" si="3"/>
        <v>7500</v>
      </c>
      <c r="I16" s="677">
        <f t="shared" si="4"/>
        <v>833.33333333333337</v>
      </c>
      <c r="J16" s="716">
        <f t="shared" si="1"/>
        <v>8333.3333333333339</v>
      </c>
      <c r="K16" s="736"/>
      <c r="L16" s="997"/>
      <c r="M16" s="997"/>
      <c r="N16" s="997"/>
      <c r="O16" s="997">
        <v>10000</v>
      </c>
      <c r="P16" s="736"/>
      <c r="Q16" s="997"/>
      <c r="R16" s="997"/>
      <c r="S16" s="997"/>
      <c r="T16" s="736"/>
      <c r="U16" s="736"/>
      <c r="V16" s="736"/>
      <c r="W16" s="997">
        <f t="shared" si="5"/>
        <v>10000</v>
      </c>
      <c r="X16" s="997">
        <f t="shared" si="6"/>
        <v>0</v>
      </c>
      <c r="Y16" s="989">
        <f t="shared" si="7"/>
        <v>10000</v>
      </c>
      <c r="Z16" s="716">
        <f t="shared" si="0"/>
        <v>-1666.6666666666661</v>
      </c>
      <c r="AA16" s="322">
        <f t="shared" si="2"/>
        <v>0</v>
      </c>
    </row>
    <row r="17" spans="1:27" x14ac:dyDescent="0.25">
      <c r="A17" s="276" t="s">
        <v>545</v>
      </c>
      <c r="B17" s="411"/>
      <c r="C17" s="414">
        <v>15000</v>
      </c>
      <c r="D17" s="414"/>
      <c r="E17" s="1028"/>
      <c r="F17" s="1028"/>
      <c r="G17" s="677">
        <f t="shared" si="8"/>
        <v>15000</v>
      </c>
      <c r="H17" s="677">
        <f t="shared" si="3"/>
        <v>11250</v>
      </c>
      <c r="I17" s="677">
        <f>G17/12</f>
        <v>1250</v>
      </c>
      <c r="J17" s="716">
        <f t="shared" si="1"/>
        <v>12500</v>
      </c>
      <c r="K17" s="695"/>
      <c r="L17" s="997"/>
      <c r="M17" s="997">
        <v>14850</v>
      </c>
      <c r="N17" s="997"/>
      <c r="O17" s="997"/>
      <c r="P17" s="736"/>
      <c r="Q17" s="997"/>
      <c r="R17" s="997"/>
      <c r="S17" s="997"/>
      <c r="T17" s="736"/>
      <c r="U17" s="736"/>
      <c r="V17" s="736"/>
      <c r="W17" s="997">
        <f t="shared" si="5"/>
        <v>14850</v>
      </c>
      <c r="X17" s="997">
        <f t="shared" si="6"/>
        <v>0</v>
      </c>
      <c r="Y17" s="989">
        <f t="shared" si="7"/>
        <v>14850</v>
      </c>
      <c r="Z17" s="716">
        <f t="shared" si="0"/>
        <v>-2350</v>
      </c>
      <c r="AA17" s="322">
        <f t="shared" si="2"/>
        <v>150</v>
      </c>
    </row>
    <row r="18" spans="1:27" x14ac:dyDescent="0.25">
      <c r="A18" s="276" t="s">
        <v>546</v>
      </c>
      <c r="B18" s="411"/>
      <c r="C18" s="414">
        <v>60000</v>
      </c>
      <c r="D18" s="414"/>
      <c r="E18" s="1028"/>
      <c r="F18" s="1028"/>
      <c r="G18" s="677">
        <f t="shared" si="8"/>
        <v>60000</v>
      </c>
      <c r="H18" s="677">
        <f t="shared" si="3"/>
        <v>45000</v>
      </c>
      <c r="I18" s="677">
        <f t="shared" si="4"/>
        <v>5000</v>
      </c>
      <c r="J18" s="716">
        <f t="shared" si="1"/>
        <v>50000</v>
      </c>
      <c r="K18" s="695"/>
      <c r="L18" s="997">
        <v>14590</v>
      </c>
      <c r="M18" s="997"/>
      <c r="N18" s="997"/>
      <c r="O18" s="997">
        <v>13985</v>
      </c>
      <c r="P18" s="736"/>
      <c r="Q18" s="997"/>
      <c r="R18" s="997">
        <v>11785</v>
      </c>
      <c r="S18" s="997"/>
      <c r="T18" s="736"/>
      <c r="U18" s="736"/>
      <c r="V18" s="736"/>
      <c r="W18" s="997">
        <f t="shared" si="5"/>
        <v>40360</v>
      </c>
      <c r="X18" s="997">
        <f t="shared" si="6"/>
        <v>0</v>
      </c>
      <c r="Y18" s="989">
        <f t="shared" ref="Y18:Y40" si="9">W18+X18</f>
        <v>40360</v>
      </c>
      <c r="Z18" s="989">
        <f t="shared" ref="Z18:Z40" si="10">J18-Y18</f>
        <v>9640</v>
      </c>
      <c r="AA18" s="996">
        <f t="shared" ref="AA18:AA40" si="11">G18-Y18</f>
        <v>19640</v>
      </c>
    </row>
    <row r="19" spans="1:27" x14ac:dyDescent="0.25">
      <c r="A19" s="276" t="s">
        <v>547</v>
      </c>
      <c r="B19" s="411"/>
      <c r="C19" s="414">
        <v>10000</v>
      </c>
      <c r="D19" s="414"/>
      <c r="E19" s="1028"/>
      <c r="F19" s="1028"/>
      <c r="G19" s="677">
        <f t="shared" si="8"/>
        <v>10000</v>
      </c>
      <c r="H19" s="677">
        <f t="shared" si="3"/>
        <v>7500</v>
      </c>
      <c r="I19" s="677">
        <f t="shared" si="4"/>
        <v>833.33333333333337</v>
      </c>
      <c r="J19" s="716">
        <f t="shared" si="1"/>
        <v>8333.3333333333339</v>
      </c>
      <c r="K19" s="695"/>
      <c r="L19" s="997"/>
      <c r="M19" s="997"/>
      <c r="N19" s="997"/>
      <c r="O19" s="997"/>
      <c r="P19" s="736"/>
      <c r="Q19" s="997"/>
      <c r="R19" s="997"/>
      <c r="S19" s="997"/>
      <c r="T19" s="736"/>
      <c r="U19" s="736"/>
      <c r="V19" s="736"/>
      <c r="W19" s="997">
        <f t="shared" si="5"/>
        <v>0</v>
      </c>
      <c r="X19" s="997">
        <f t="shared" si="6"/>
        <v>0</v>
      </c>
      <c r="Y19" s="989">
        <f t="shared" si="9"/>
        <v>0</v>
      </c>
      <c r="Z19" s="989">
        <f t="shared" si="10"/>
        <v>8333.3333333333339</v>
      </c>
      <c r="AA19" s="996">
        <f t="shared" si="11"/>
        <v>10000</v>
      </c>
    </row>
    <row r="20" spans="1:27" x14ac:dyDescent="0.25">
      <c r="A20" s="276" t="s">
        <v>548</v>
      </c>
      <c r="B20" s="409"/>
      <c r="C20" s="414">
        <v>5000</v>
      </c>
      <c r="D20" s="414"/>
      <c r="E20" s="1028"/>
      <c r="F20" s="1028"/>
      <c r="G20" s="677">
        <f t="shared" si="8"/>
        <v>5000</v>
      </c>
      <c r="H20" s="677">
        <f t="shared" si="3"/>
        <v>3750</v>
      </c>
      <c r="I20" s="677">
        <f t="shared" si="4"/>
        <v>416.66666666666669</v>
      </c>
      <c r="J20" s="716">
        <f t="shared" si="1"/>
        <v>4166.666666666667</v>
      </c>
      <c r="K20" s="695"/>
      <c r="L20" s="997"/>
      <c r="M20" s="997"/>
      <c r="N20" s="997"/>
      <c r="O20" s="997"/>
      <c r="P20" s="736"/>
      <c r="Q20" s="997"/>
      <c r="R20" s="997"/>
      <c r="S20" s="997"/>
      <c r="T20" s="736"/>
      <c r="U20" s="736"/>
      <c r="V20" s="736"/>
      <c r="W20" s="997">
        <f t="shared" si="5"/>
        <v>0</v>
      </c>
      <c r="X20" s="997">
        <f t="shared" si="6"/>
        <v>0</v>
      </c>
      <c r="Y20" s="989">
        <f t="shared" si="9"/>
        <v>0</v>
      </c>
      <c r="Z20" s="989">
        <f t="shared" si="10"/>
        <v>4166.666666666667</v>
      </c>
      <c r="AA20" s="996">
        <f t="shared" si="11"/>
        <v>5000</v>
      </c>
    </row>
    <row r="21" spans="1:27" s="987" customFormat="1" x14ac:dyDescent="0.25">
      <c r="A21" s="276" t="s">
        <v>1228</v>
      </c>
      <c r="B21" s="409"/>
      <c r="C21" s="414"/>
      <c r="D21" s="414"/>
      <c r="E21" s="1028"/>
      <c r="F21" s="1028">
        <v>19400</v>
      </c>
      <c r="G21" s="677">
        <f t="shared" si="8"/>
        <v>19400</v>
      </c>
      <c r="H21" s="677">
        <f t="shared" si="3"/>
        <v>14550</v>
      </c>
      <c r="I21" s="677">
        <f t="shared" ref="I21" si="12">G21/12</f>
        <v>1616.6666666666667</v>
      </c>
      <c r="J21" s="989">
        <f t="shared" ref="J21" si="13">H21+I21</f>
        <v>16166.666666666666</v>
      </c>
      <c r="K21" s="997"/>
      <c r="L21" s="997"/>
      <c r="M21" s="997"/>
      <c r="N21" s="997"/>
      <c r="O21" s="997"/>
      <c r="P21" s="937">
        <v>7400</v>
      </c>
      <c r="Q21" s="997"/>
      <c r="R21" s="997"/>
      <c r="S21" s="997">
        <f>5940+6000</f>
        <v>11940</v>
      </c>
      <c r="T21" s="937"/>
      <c r="U21" s="937"/>
      <c r="V21" s="937"/>
      <c r="W21" s="997">
        <f t="shared" si="5"/>
        <v>19340</v>
      </c>
      <c r="X21" s="997">
        <f t="shared" si="6"/>
        <v>0</v>
      </c>
      <c r="Y21" s="989">
        <f t="shared" ref="Y21" si="14">W21+X21</f>
        <v>19340</v>
      </c>
      <c r="Z21" s="989">
        <f t="shared" ref="Z21" si="15">J21-Y21</f>
        <v>-3173.3333333333339</v>
      </c>
      <c r="AA21" s="996">
        <f t="shared" ref="AA21" si="16">G21-Y21</f>
        <v>60</v>
      </c>
    </row>
    <row r="22" spans="1:27" x14ac:dyDescent="0.25">
      <c r="A22" s="365" t="s">
        <v>61</v>
      </c>
      <c r="B22" s="411" t="s">
        <v>62</v>
      </c>
      <c r="C22" s="414">
        <v>18000</v>
      </c>
      <c r="D22" s="414"/>
      <c r="E22" s="1028"/>
      <c r="F22" s="1028"/>
      <c r="G22" s="677">
        <f t="shared" si="8"/>
        <v>18000</v>
      </c>
      <c r="H22" s="677">
        <f t="shared" si="3"/>
        <v>13500</v>
      </c>
      <c r="I22" s="677">
        <f t="shared" si="4"/>
        <v>1500</v>
      </c>
      <c r="J22" s="716">
        <f t="shared" si="1"/>
        <v>15000</v>
      </c>
      <c r="K22" s="695">
        <v>1175</v>
      </c>
      <c r="L22" s="997">
        <v>1298.18</v>
      </c>
      <c r="M22" s="997">
        <v>1299</v>
      </c>
      <c r="N22" s="997">
        <v>1299</v>
      </c>
      <c r="O22" s="997">
        <v>1299</v>
      </c>
      <c r="P22" s="736">
        <v>1299</v>
      </c>
      <c r="Q22" s="997">
        <v>1299</v>
      </c>
      <c r="R22" s="997">
        <v>1299</v>
      </c>
      <c r="S22" s="997">
        <v>1299</v>
      </c>
      <c r="T22" s="736">
        <v>1299</v>
      </c>
      <c r="U22" s="736"/>
      <c r="V22" s="736"/>
      <c r="W22" s="997">
        <f t="shared" si="5"/>
        <v>11566.18</v>
      </c>
      <c r="X22" s="997">
        <f t="shared" si="6"/>
        <v>1299</v>
      </c>
      <c r="Y22" s="989">
        <f t="shared" si="9"/>
        <v>12865.18</v>
      </c>
      <c r="Z22" s="989">
        <f t="shared" si="10"/>
        <v>2134.8199999999997</v>
      </c>
      <c r="AA22" s="996">
        <f t="shared" si="11"/>
        <v>5134.82</v>
      </c>
    </row>
    <row r="23" spans="1:27" x14ac:dyDescent="0.25">
      <c r="A23" s="61" t="s">
        <v>152</v>
      </c>
      <c r="B23" s="411" t="s">
        <v>153</v>
      </c>
      <c r="C23" s="414"/>
      <c r="D23" s="414"/>
      <c r="E23" s="1028"/>
      <c r="F23" s="1028"/>
      <c r="G23" s="677">
        <f t="shared" si="8"/>
        <v>0</v>
      </c>
      <c r="H23" s="677">
        <f t="shared" si="3"/>
        <v>0</v>
      </c>
      <c r="I23" s="677">
        <f t="shared" si="4"/>
        <v>0</v>
      </c>
      <c r="J23" s="716">
        <f t="shared" si="1"/>
        <v>0</v>
      </c>
      <c r="K23" s="695"/>
      <c r="L23" s="997"/>
      <c r="M23" s="997"/>
      <c r="N23" s="997"/>
      <c r="O23" s="997"/>
      <c r="P23" s="736"/>
      <c r="Q23" s="997"/>
      <c r="R23" s="997"/>
      <c r="S23" s="997"/>
      <c r="T23" s="736"/>
      <c r="U23" s="736"/>
      <c r="V23" s="736"/>
      <c r="W23" s="997">
        <f t="shared" si="5"/>
        <v>0</v>
      </c>
      <c r="X23" s="997">
        <f t="shared" si="6"/>
        <v>0</v>
      </c>
      <c r="Y23" s="989">
        <f t="shared" si="9"/>
        <v>0</v>
      </c>
      <c r="Z23" s="989">
        <f t="shared" si="10"/>
        <v>0</v>
      </c>
      <c r="AA23" s="996">
        <f t="shared" si="11"/>
        <v>0</v>
      </c>
    </row>
    <row r="24" spans="1:27" x14ac:dyDescent="0.25">
      <c r="A24" s="276" t="s">
        <v>549</v>
      </c>
      <c r="B24" s="411"/>
      <c r="C24" s="414">
        <v>20000</v>
      </c>
      <c r="D24" s="414"/>
      <c r="E24" s="1028"/>
      <c r="F24" s="1028"/>
      <c r="G24" s="677">
        <f t="shared" si="8"/>
        <v>20000</v>
      </c>
      <c r="H24" s="677">
        <f t="shared" si="3"/>
        <v>15000</v>
      </c>
      <c r="I24" s="677">
        <f t="shared" si="4"/>
        <v>1666.6666666666667</v>
      </c>
      <c r="J24" s="716">
        <f t="shared" si="1"/>
        <v>16666.666666666668</v>
      </c>
      <c r="K24" s="695"/>
      <c r="L24" s="997"/>
      <c r="M24" s="997"/>
      <c r="N24" s="997"/>
      <c r="O24" s="997"/>
      <c r="P24" s="736"/>
      <c r="Q24" s="997"/>
      <c r="R24" s="997"/>
      <c r="S24" s="997"/>
      <c r="T24" s="736"/>
      <c r="U24" s="736"/>
      <c r="V24" s="736"/>
      <c r="W24" s="997">
        <f t="shared" si="5"/>
        <v>0</v>
      </c>
      <c r="X24" s="997">
        <f t="shared" si="6"/>
        <v>0</v>
      </c>
      <c r="Y24" s="989">
        <f t="shared" si="9"/>
        <v>0</v>
      </c>
      <c r="Z24" s="989">
        <f t="shared" si="10"/>
        <v>16666.666666666668</v>
      </c>
      <c r="AA24" s="996">
        <f t="shared" si="11"/>
        <v>20000</v>
      </c>
    </row>
    <row r="25" spans="1:27" x14ac:dyDescent="0.25">
      <c r="A25" s="365" t="s">
        <v>217</v>
      </c>
      <c r="B25" s="409" t="s">
        <v>70</v>
      </c>
      <c r="C25" s="414">
        <v>482400</v>
      </c>
      <c r="D25" s="414"/>
      <c r="E25" s="1028"/>
      <c r="F25" s="1028"/>
      <c r="G25" s="677">
        <f t="shared" si="8"/>
        <v>482400</v>
      </c>
      <c r="H25" s="677">
        <f t="shared" si="3"/>
        <v>361800</v>
      </c>
      <c r="I25" s="677">
        <f t="shared" si="4"/>
        <v>40200</v>
      </c>
      <c r="J25" s="716">
        <f t="shared" si="1"/>
        <v>402000</v>
      </c>
      <c r="K25" s="695">
        <v>21633.88</v>
      </c>
      <c r="L25" s="997">
        <v>40898.33</v>
      </c>
      <c r="M25" s="997">
        <v>40596.67</v>
      </c>
      <c r="N25" s="997">
        <v>40575</v>
      </c>
      <c r="O25" s="997">
        <v>40600</v>
      </c>
      <c r="P25" s="736">
        <f>20300+25836.38</f>
        <v>46136.380000000005</v>
      </c>
      <c r="Q25" s="997">
        <v>29527.3</v>
      </c>
      <c r="R25" s="997">
        <v>40600</v>
      </c>
      <c r="S25" s="997">
        <v>40600</v>
      </c>
      <c r="T25" s="736">
        <v>45400</v>
      </c>
      <c r="U25" s="736"/>
      <c r="V25" s="736"/>
      <c r="W25" s="997">
        <f t="shared" si="5"/>
        <v>341167.56</v>
      </c>
      <c r="X25" s="997">
        <f t="shared" si="6"/>
        <v>45400</v>
      </c>
      <c r="Y25" s="989">
        <f t="shared" si="9"/>
        <v>386567.56</v>
      </c>
      <c r="Z25" s="989">
        <f t="shared" si="10"/>
        <v>15432.440000000002</v>
      </c>
      <c r="AA25" s="996">
        <f t="shared" si="11"/>
        <v>95832.44</v>
      </c>
    </row>
    <row r="26" spans="1:27" x14ac:dyDescent="0.25">
      <c r="A26" s="61" t="s">
        <v>551</v>
      </c>
      <c r="B26" s="409" t="s">
        <v>158</v>
      </c>
      <c r="C26" s="414"/>
      <c r="D26" s="414"/>
      <c r="E26" s="1028"/>
      <c r="F26" s="1028"/>
      <c r="G26" s="677">
        <f t="shared" si="8"/>
        <v>0</v>
      </c>
      <c r="H26" s="677">
        <f t="shared" si="3"/>
        <v>0</v>
      </c>
      <c r="I26" s="677">
        <f t="shared" si="4"/>
        <v>0</v>
      </c>
      <c r="J26" s="716">
        <f t="shared" si="1"/>
        <v>0</v>
      </c>
      <c r="K26" s="695"/>
      <c r="L26" s="997"/>
      <c r="M26" s="997"/>
      <c r="N26" s="997"/>
      <c r="O26" s="997"/>
      <c r="P26" s="736"/>
      <c r="Q26" s="997"/>
      <c r="R26" s="997"/>
      <c r="S26" s="997"/>
      <c r="T26" s="736"/>
      <c r="U26" s="736"/>
      <c r="V26" s="736"/>
      <c r="W26" s="997">
        <f t="shared" si="5"/>
        <v>0</v>
      </c>
      <c r="X26" s="997">
        <f t="shared" si="6"/>
        <v>0</v>
      </c>
      <c r="Y26" s="989">
        <f t="shared" si="9"/>
        <v>0</v>
      </c>
      <c r="Z26" s="989">
        <f t="shared" si="10"/>
        <v>0</v>
      </c>
      <c r="AA26" s="996">
        <f t="shared" si="11"/>
        <v>0</v>
      </c>
    </row>
    <row r="27" spans="1:27" x14ac:dyDescent="0.25">
      <c r="A27" s="276" t="s">
        <v>552</v>
      </c>
      <c r="B27" s="409"/>
      <c r="C27" s="414">
        <v>54000</v>
      </c>
      <c r="D27" s="414"/>
      <c r="E27" s="1028"/>
      <c r="F27" s="1028"/>
      <c r="G27" s="677">
        <f t="shared" si="8"/>
        <v>54000</v>
      </c>
      <c r="H27" s="677">
        <f t="shared" si="3"/>
        <v>40500</v>
      </c>
      <c r="I27" s="677">
        <f t="shared" si="4"/>
        <v>4500</v>
      </c>
      <c r="J27" s="716">
        <f t="shared" si="1"/>
        <v>45000</v>
      </c>
      <c r="K27" s="736"/>
      <c r="L27" s="997"/>
      <c r="M27" s="997"/>
      <c r="N27" s="997"/>
      <c r="O27" s="997"/>
      <c r="P27" s="736"/>
      <c r="Q27" s="997">
        <f>30650</f>
        <v>30650</v>
      </c>
      <c r="R27" s="997">
        <v>7500</v>
      </c>
      <c r="S27" s="997">
        <v>11650</v>
      </c>
      <c r="T27" s="736"/>
      <c r="U27" s="736"/>
      <c r="V27" s="736"/>
      <c r="W27" s="997">
        <f t="shared" si="5"/>
        <v>49800</v>
      </c>
      <c r="X27" s="997">
        <f t="shared" si="6"/>
        <v>0</v>
      </c>
      <c r="Y27" s="989">
        <f t="shared" si="9"/>
        <v>49800</v>
      </c>
      <c r="Z27" s="989">
        <f t="shared" si="10"/>
        <v>-4800</v>
      </c>
      <c r="AA27" s="996">
        <f t="shared" si="11"/>
        <v>4200</v>
      </c>
    </row>
    <row r="28" spans="1:27" x14ac:dyDescent="0.25">
      <c r="A28" s="276" t="s">
        <v>553</v>
      </c>
      <c r="B28" s="409"/>
      <c r="C28" s="414">
        <v>30000</v>
      </c>
      <c r="D28" s="414"/>
      <c r="E28" s="1028"/>
      <c r="F28" s="1028"/>
      <c r="G28" s="677">
        <f t="shared" si="8"/>
        <v>30000</v>
      </c>
      <c r="H28" s="677">
        <f t="shared" si="3"/>
        <v>22500</v>
      </c>
      <c r="I28" s="677">
        <f t="shared" si="4"/>
        <v>2500</v>
      </c>
      <c r="J28" s="716">
        <f t="shared" si="1"/>
        <v>25000</v>
      </c>
      <c r="K28" s="736"/>
      <c r="L28" s="997"/>
      <c r="M28" s="997"/>
      <c r="N28" s="997"/>
      <c r="O28" s="997"/>
      <c r="P28" s="736"/>
      <c r="Q28" s="997">
        <f>18097</f>
        <v>18097</v>
      </c>
      <c r="R28" s="997"/>
      <c r="S28" s="997"/>
      <c r="T28" s="736"/>
      <c r="U28" s="736"/>
      <c r="V28" s="736"/>
      <c r="W28" s="997">
        <f t="shared" si="5"/>
        <v>18097</v>
      </c>
      <c r="X28" s="997">
        <f t="shared" si="6"/>
        <v>0</v>
      </c>
      <c r="Y28" s="989">
        <f t="shared" si="9"/>
        <v>18097</v>
      </c>
      <c r="Z28" s="989">
        <f t="shared" si="10"/>
        <v>6903</v>
      </c>
      <c r="AA28" s="996">
        <f t="shared" si="11"/>
        <v>11903</v>
      </c>
    </row>
    <row r="29" spans="1:27" x14ac:dyDescent="0.25">
      <c r="A29" s="276" t="s">
        <v>554</v>
      </c>
      <c r="B29" s="409"/>
      <c r="C29" s="414">
        <v>30000</v>
      </c>
      <c r="D29" s="414"/>
      <c r="E29" s="1028"/>
      <c r="F29" s="1028"/>
      <c r="G29" s="677">
        <f t="shared" si="8"/>
        <v>30000</v>
      </c>
      <c r="H29" s="677">
        <f t="shared" si="3"/>
        <v>22500</v>
      </c>
      <c r="I29" s="677">
        <f t="shared" si="4"/>
        <v>2500</v>
      </c>
      <c r="J29" s="716">
        <f t="shared" si="1"/>
        <v>25000</v>
      </c>
      <c r="K29" s="121"/>
      <c r="L29" s="726"/>
      <c r="M29" s="726"/>
      <c r="N29" s="726"/>
      <c r="O29" s="726"/>
      <c r="P29" s="121"/>
      <c r="Q29" s="726"/>
      <c r="R29" s="726"/>
      <c r="S29" s="726"/>
      <c r="T29" s="121"/>
      <c r="U29" s="121"/>
      <c r="V29" s="121"/>
      <c r="W29" s="997">
        <f t="shared" si="5"/>
        <v>0</v>
      </c>
      <c r="X29" s="997">
        <f t="shared" si="6"/>
        <v>0</v>
      </c>
      <c r="Y29" s="989">
        <f t="shared" si="9"/>
        <v>0</v>
      </c>
      <c r="Z29" s="989">
        <f t="shared" si="10"/>
        <v>25000</v>
      </c>
      <c r="AA29" s="996">
        <f t="shared" si="11"/>
        <v>30000</v>
      </c>
    </row>
    <row r="30" spans="1:27" x14ac:dyDescent="0.25">
      <c r="A30" s="61" t="s">
        <v>555</v>
      </c>
      <c r="B30" s="409" t="s">
        <v>76</v>
      </c>
      <c r="C30" s="414"/>
      <c r="D30" s="414"/>
      <c r="E30" s="1028"/>
      <c r="F30" s="1028"/>
      <c r="G30" s="677">
        <f t="shared" si="8"/>
        <v>0</v>
      </c>
      <c r="H30" s="677">
        <f t="shared" si="3"/>
        <v>0</v>
      </c>
      <c r="I30" s="677">
        <f t="shared" si="4"/>
        <v>0</v>
      </c>
      <c r="J30" s="716">
        <f t="shared" si="1"/>
        <v>0</v>
      </c>
      <c r="K30" s="695"/>
      <c r="L30" s="997"/>
      <c r="M30" s="997"/>
      <c r="N30" s="997"/>
      <c r="O30" s="997"/>
      <c r="P30" s="736"/>
      <c r="Q30" s="997"/>
      <c r="R30" s="997"/>
      <c r="S30" s="997"/>
      <c r="T30" s="736"/>
      <c r="U30" s="736"/>
      <c r="V30" s="736"/>
      <c r="W30" s="997">
        <f t="shared" si="5"/>
        <v>0</v>
      </c>
      <c r="X30" s="997">
        <f t="shared" si="6"/>
        <v>0</v>
      </c>
      <c r="Y30" s="989">
        <f t="shared" si="9"/>
        <v>0</v>
      </c>
      <c r="Z30" s="989">
        <f t="shared" si="10"/>
        <v>0</v>
      </c>
      <c r="AA30" s="996">
        <f t="shared" si="11"/>
        <v>0</v>
      </c>
    </row>
    <row r="31" spans="1:27" x14ac:dyDescent="0.25">
      <c r="A31" s="179" t="s">
        <v>325</v>
      </c>
      <c r="B31" s="412"/>
      <c r="C31" s="414">
        <v>2890</v>
      </c>
      <c r="D31" s="414"/>
      <c r="E31" s="1028"/>
      <c r="F31" s="1028"/>
      <c r="G31" s="677">
        <f t="shared" si="8"/>
        <v>2890</v>
      </c>
      <c r="H31" s="677">
        <f t="shared" si="3"/>
        <v>2167.5</v>
      </c>
      <c r="I31" s="677">
        <f t="shared" si="4"/>
        <v>240.83333333333334</v>
      </c>
      <c r="J31" s="716">
        <f t="shared" si="1"/>
        <v>2408.3333333333335</v>
      </c>
      <c r="K31" s="695"/>
      <c r="L31" s="997"/>
      <c r="M31" s="997"/>
      <c r="N31" s="997"/>
      <c r="O31" s="997"/>
      <c r="P31" s="736"/>
      <c r="Q31" s="997"/>
      <c r="R31" s="997"/>
      <c r="S31" s="997"/>
      <c r="T31" s="736"/>
      <c r="U31" s="736"/>
      <c r="V31" s="736"/>
      <c r="W31" s="997">
        <f t="shared" si="5"/>
        <v>0</v>
      </c>
      <c r="X31" s="997">
        <f t="shared" si="6"/>
        <v>0</v>
      </c>
      <c r="Y31" s="989">
        <f t="shared" si="9"/>
        <v>0</v>
      </c>
      <c r="Z31" s="989">
        <f t="shared" si="10"/>
        <v>2408.3333333333335</v>
      </c>
      <c r="AA31" s="996">
        <f t="shared" si="11"/>
        <v>2890</v>
      </c>
    </row>
    <row r="32" spans="1:27" x14ac:dyDescent="0.25">
      <c r="A32" s="276" t="s">
        <v>390</v>
      </c>
      <c r="B32" s="413"/>
      <c r="C32" s="414">
        <v>3000</v>
      </c>
      <c r="D32" s="414"/>
      <c r="E32" s="1028"/>
      <c r="F32" s="1028"/>
      <c r="G32" s="677">
        <f t="shared" si="8"/>
        <v>3000</v>
      </c>
      <c r="H32" s="677">
        <f t="shared" si="3"/>
        <v>2250</v>
      </c>
      <c r="I32" s="677">
        <f t="shared" si="4"/>
        <v>250</v>
      </c>
      <c r="J32" s="716">
        <f t="shared" si="1"/>
        <v>2500</v>
      </c>
      <c r="K32" s="695"/>
      <c r="L32" s="997"/>
      <c r="M32" s="997"/>
      <c r="N32" s="997"/>
      <c r="O32" s="997"/>
      <c r="P32" s="736"/>
      <c r="Q32" s="997"/>
      <c r="R32" s="997"/>
      <c r="S32" s="997">
        <v>2750</v>
      </c>
      <c r="T32" s="736"/>
      <c r="U32" s="736"/>
      <c r="V32" s="736"/>
      <c r="W32" s="997">
        <f t="shared" si="5"/>
        <v>2750</v>
      </c>
      <c r="X32" s="997">
        <f t="shared" si="6"/>
        <v>0</v>
      </c>
      <c r="Y32" s="989">
        <f t="shared" si="9"/>
        <v>2750</v>
      </c>
      <c r="Z32" s="989">
        <f t="shared" si="10"/>
        <v>-250</v>
      </c>
      <c r="AA32" s="996">
        <f t="shared" si="11"/>
        <v>250</v>
      </c>
    </row>
    <row r="33" spans="1:27" x14ac:dyDescent="0.25">
      <c r="A33" s="285" t="s">
        <v>86</v>
      </c>
      <c r="B33" s="411" t="s">
        <v>87</v>
      </c>
      <c r="C33" s="414"/>
      <c r="D33" s="414"/>
      <c r="E33" s="1028"/>
      <c r="F33" s="1028"/>
      <c r="G33" s="677">
        <f t="shared" si="8"/>
        <v>0</v>
      </c>
      <c r="H33" s="677">
        <f t="shared" si="3"/>
        <v>0</v>
      </c>
      <c r="I33" s="677">
        <f t="shared" si="4"/>
        <v>0</v>
      </c>
      <c r="J33" s="716">
        <f t="shared" si="1"/>
        <v>0</v>
      </c>
      <c r="K33" s="695"/>
      <c r="L33" s="997"/>
      <c r="M33" s="997"/>
      <c r="N33" s="997"/>
      <c r="O33" s="997"/>
      <c r="P33" s="736"/>
      <c r="Q33" s="997"/>
      <c r="R33" s="997"/>
      <c r="S33" s="997"/>
      <c r="T33" s="736"/>
      <c r="U33" s="736"/>
      <c r="V33" s="736"/>
      <c r="W33" s="997">
        <f t="shared" si="5"/>
        <v>0</v>
      </c>
      <c r="X33" s="997">
        <f t="shared" si="6"/>
        <v>0</v>
      </c>
      <c r="Y33" s="989">
        <f t="shared" si="9"/>
        <v>0</v>
      </c>
      <c r="Z33" s="989">
        <f t="shared" si="10"/>
        <v>0</v>
      </c>
      <c r="AA33" s="996">
        <f t="shared" si="11"/>
        <v>0</v>
      </c>
    </row>
    <row r="34" spans="1:27" x14ac:dyDescent="0.25">
      <c r="A34" s="179" t="s">
        <v>556</v>
      </c>
      <c r="B34" s="411"/>
      <c r="C34" s="414">
        <v>7000</v>
      </c>
      <c r="D34" s="414"/>
      <c r="E34" s="1028"/>
      <c r="F34" s="1028"/>
      <c r="G34" s="677">
        <f t="shared" si="8"/>
        <v>7000</v>
      </c>
      <c r="H34" s="677">
        <f t="shared" si="3"/>
        <v>5250</v>
      </c>
      <c r="I34" s="677">
        <f t="shared" si="4"/>
        <v>583.33333333333337</v>
      </c>
      <c r="J34" s="716">
        <f t="shared" si="1"/>
        <v>5833.333333333333</v>
      </c>
      <c r="K34" s="726"/>
      <c r="L34" s="726"/>
      <c r="M34" s="726"/>
      <c r="N34" s="726"/>
      <c r="O34" s="726"/>
      <c r="P34" s="123"/>
      <c r="Q34" s="726"/>
      <c r="R34" s="726"/>
      <c r="S34" s="726"/>
      <c r="T34" s="123"/>
      <c r="U34" s="123"/>
      <c r="V34" s="123"/>
      <c r="W34" s="997">
        <f t="shared" si="5"/>
        <v>0</v>
      </c>
      <c r="X34" s="997">
        <f t="shared" si="6"/>
        <v>0</v>
      </c>
      <c r="Y34" s="989">
        <f t="shared" si="9"/>
        <v>0</v>
      </c>
      <c r="Z34" s="989">
        <f t="shared" si="10"/>
        <v>5833.333333333333</v>
      </c>
      <c r="AA34" s="996">
        <f t="shared" si="11"/>
        <v>7000</v>
      </c>
    </row>
    <row r="35" spans="1:27" x14ac:dyDescent="0.25">
      <c r="A35" s="61" t="s">
        <v>253</v>
      </c>
      <c r="B35" s="409" t="s">
        <v>93</v>
      </c>
      <c r="C35" s="414"/>
      <c r="D35" s="414"/>
      <c r="E35" s="1028"/>
      <c r="F35" s="1028"/>
      <c r="G35" s="677">
        <f t="shared" si="8"/>
        <v>0</v>
      </c>
      <c r="H35" s="677">
        <f t="shared" si="3"/>
        <v>0</v>
      </c>
      <c r="I35" s="677">
        <f t="shared" si="4"/>
        <v>0</v>
      </c>
      <c r="J35" s="716">
        <f t="shared" si="1"/>
        <v>0</v>
      </c>
      <c r="K35" s="726"/>
      <c r="L35" s="726"/>
      <c r="M35" s="726"/>
      <c r="N35" s="726"/>
      <c r="O35" s="726"/>
      <c r="P35" s="121"/>
      <c r="Q35" s="726"/>
      <c r="R35" s="726"/>
      <c r="S35" s="726"/>
      <c r="T35" s="121"/>
      <c r="U35" s="121"/>
      <c r="V35" s="121"/>
      <c r="W35" s="997">
        <f t="shared" si="5"/>
        <v>0</v>
      </c>
      <c r="X35" s="997">
        <f t="shared" si="6"/>
        <v>0</v>
      </c>
      <c r="Y35" s="989">
        <f t="shared" si="9"/>
        <v>0</v>
      </c>
      <c r="Z35" s="989">
        <f t="shared" si="10"/>
        <v>0</v>
      </c>
      <c r="AA35" s="996">
        <f t="shared" si="11"/>
        <v>0</v>
      </c>
    </row>
    <row r="36" spans="1:27" x14ac:dyDescent="0.25">
      <c r="A36" s="276" t="s">
        <v>557</v>
      </c>
      <c r="B36" s="409"/>
      <c r="C36" s="414">
        <v>40000</v>
      </c>
      <c r="D36" s="414"/>
      <c r="E36" s="1028"/>
      <c r="F36" s="1028"/>
      <c r="G36" s="677">
        <f t="shared" si="8"/>
        <v>40000</v>
      </c>
      <c r="H36" s="677">
        <f t="shared" si="3"/>
        <v>30000</v>
      </c>
      <c r="I36" s="677">
        <f t="shared" si="4"/>
        <v>3333.3333333333335</v>
      </c>
      <c r="J36" s="716">
        <f t="shared" si="1"/>
        <v>33333.333333333336</v>
      </c>
      <c r="K36" s="695">
        <v>3515</v>
      </c>
      <c r="L36" s="997"/>
      <c r="M36" s="726">
        <v>3900</v>
      </c>
      <c r="N36" s="997">
        <v>3200</v>
      </c>
      <c r="O36" s="997">
        <v>2000</v>
      </c>
      <c r="P36" s="736"/>
      <c r="Q36" s="997"/>
      <c r="R36" s="997">
        <v>2880</v>
      </c>
      <c r="S36" s="997">
        <v>4000</v>
      </c>
      <c r="T36" s="736"/>
      <c r="U36" s="736"/>
      <c r="V36" s="736"/>
      <c r="W36" s="997">
        <f t="shared" si="5"/>
        <v>19495</v>
      </c>
      <c r="X36" s="997">
        <f t="shared" si="6"/>
        <v>0</v>
      </c>
      <c r="Y36" s="989">
        <f t="shared" si="9"/>
        <v>19495</v>
      </c>
      <c r="Z36" s="989">
        <f t="shared" si="10"/>
        <v>13838.333333333336</v>
      </c>
      <c r="AA36" s="996">
        <f t="shared" si="11"/>
        <v>20505</v>
      </c>
    </row>
    <row r="37" spans="1:27" x14ac:dyDescent="0.25">
      <c r="A37" s="162" t="s">
        <v>550</v>
      </c>
      <c r="B37" s="409"/>
      <c r="C37" s="414">
        <v>50000</v>
      </c>
      <c r="D37" s="414"/>
      <c r="E37" s="1028"/>
      <c r="F37" s="1028"/>
      <c r="G37" s="677">
        <f t="shared" si="8"/>
        <v>50000</v>
      </c>
      <c r="H37" s="677">
        <f t="shared" si="3"/>
        <v>37500</v>
      </c>
      <c r="I37" s="677">
        <f t="shared" si="4"/>
        <v>4166.666666666667</v>
      </c>
      <c r="J37" s="716">
        <f t="shared" si="1"/>
        <v>41666.666666666664</v>
      </c>
      <c r="K37" s="736"/>
      <c r="L37" s="997"/>
      <c r="M37" s="997"/>
      <c r="N37" s="997"/>
      <c r="O37" s="997"/>
      <c r="P37" s="736"/>
      <c r="Q37" s="997"/>
      <c r="R37" s="997"/>
      <c r="S37" s="997"/>
      <c r="T37" s="736"/>
      <c r="U37" s="736"/>
      <c r="V37" s="736"/>
      <c r="W37" s="997">
        <f t="shared" si="5"/>
        <v>0</v>
      </c>
      <c r="X37" s="997">
        <f t="shared" si="6"/>
        <v>0</v>
      </c>
      <c r="Y37" s="989">
        <f t="shared" si="9"/>
        <v>0</v>
      </c>
      <c r="Z37" s="989">
        <f t="shared" si="10"/>
        <v>41666.666666666664</v>
      </c>
      <c r="AA37" s="996">
        <f t="shared" si="11"/>
        <v>50000</v>
      </c>
    </row>
    <row r="38" spans="1:27" x14ac:dyDescent="0.25">
      <c r="A38" s="162" t="s">
        <v>558</v>
      </c>
      <c r="B38" s="409"/>
      <c r="C38" s="414">
        <v>100000</v>
      </c>
      <c r="D38" s="414"/>
      <c r="E38" s="1028"/>
      <c r="F38" s="1028"/>
      <c r="G38" s="677">
        <f t="shared" si="8"/>
        <v>100000</v>
      </c>
      <c r="H38" s="677">
        <f t="shared" si="3"/>
        <v>75000</v>
      </c>
      <c r="I38" s="677">
        <f t="shared" si="4"/>
        <v>8333.3333333333339</v>
      </c>
      <c r="J38" s="716">
        <f t="shared" si="1"/>
        <v>83333.333333333328</v>
      </c>
      <c r="K38" s="736"/>
      <c r="L38" s="997"/>
      <c r="M38" s="997"/>
      <c r="N38" s="997"/>
      <c r="O38" s="997"/>
      <c r="P38" s="736"/>
      <c r="Q38" s="997"/>
      <c r="R38" s="997"/>
      <c r="S38" s="997"/>
      <c r="T38" s="736"/>
      <c r="U38" s="736"/>
      <c r="V38" s="736"/>
      <c r="W38" s="997">
        <f t="shared" si="5"/>
        <v>0</v>
      </c>
      <c r="X38" s="997">
        <f t="shared" si="6"/>
        <v>0</v>
      </c>
      <c r="Y38" s="989">
        <f t="shared" si="9"/>
        <v>0</v>
      </c>
      <c r="Z38" s="989">
        <f t="shared" si="10"/>
        <v>83333.333333333328</v>
      </c>
      <c r="AA38" s="996">
        <f t="shared" si="11"/>
        <v>100000</v>
      </c>
    </row>
    <row r="39" spans="1:27" x14ac:dyDescent="0.25">
      <c r="A39" s="162" t="s">
        <v>549</v>
      </c>
      <c r="B39" s="409"/>
      <c r="C39" s="414">
        <v>25000</v>
      </c>
      <c r="D39" s="414"/>
      <c r="E39" s="1028"/>
      <c r="F39" s="1028"/>
      <c r="G39" s="677">
        <f t="shared" si="8"/>
        <v>25000</v>
      </c>
      <c r="H39" s="677">
        <f t="shared" si="3"/>
        <v>18750</v>
      </c>
      <c r="I39" s="677">
        <f t="shared" si="4"/>
        <v>2083.3333333333335</v>
      </c>
      <c r="J39" s="716">
        <f t="shared" si="1"/>
        <v>20833.333333333332</v>
      </c>
      <c r="K39" s="736"/>
      <c r="L39" s="997"/>
      <c r="M39" s="997"/>
      <c r="N39" s="997"/>
      <c r="O39" s="997"/>
      <c r="P39" s="736"/>
      <c r="Q39" s="997"/>
      <c r="R39" s="997"/>
      <c r="S39" s="997"/>
      <c r="T39" s="736"/>
      <c r="U39" s="736"/>
      <c r="V39" s="736"/>
      <c r="W39" s="997">
        <f t="shared" si="5"/>
        <v>0</v>
      </c>
      <c r="X39" s="997">
        <f t="shared" si="6"/>
        <v>0</v>
      </c>
      <c r="Y39" s="990">
        <f t="shared" si="9"/>
        <v>0</v>
      </c>
      <c r="Z39" s="989">
        <f t="shared" si="10"/>
        <v>20833.333333333332</v>
      </c>
      <c r="AA39" s="996">
        <f t="shared" si="11"/>
        <v>25000</v>
      </c>
    </row>
    <row r="40" spans="1:27" x14ac:dyDescent="0.25">
      <c r="A40" s="162" t="s">
        <v>559</v>
      </c>
      <c r="B40" s="409"/>
      <c r="C40" s="414">
        <v>5000</v>
      </c>
      <c r="D40" s="414"/>
      <c r="E40" s="1028"/>
      <c r="F40" s="1028"/>
      <c r="G40" s="677">
        <f t="shared" si="8"/>
        <v>5000</v>
      </c>
      <c r="H40" s="677">
        <f t="shared" si="3"/>
        <v>3750</v>
      </c>
      <c r="I40" s="677">
        <f t="shared" si="4"/>
        <v>416.66666666666669</v>
      </c>
      <c r="J40" s="716">
        <f t="shared" si="1"/>
        <v>4166.666666666667</v>
      </c>
      <c r="K40" s="736"/>
      <c r="L40" s="997"/>
      <c r="M40" s="997"/>
      <c r="N40" s="997"/>
      <c r="O40" s="997"/>
      <c r="P40" s="736"/>
      <c r="Q40" s="997"/>
      <c r="R40" s="997"/>
      <c r="S40" s="997"/>
      <c r="T40" s="736"/>
      <c r="U40" s="736"/>
      <c r="V40" s="736"/>
      <c r="W40" s="997">
        <f t="shared" si="5"/>
        <v>0</v>
      </c>
      <c r="X40" s="997">
        <f t="shared" si="6"/>
        <v>0</v>
      </c>
      <c r="Y40" s="990">
        <f t="shared" si="9"/>
        <v>0</v>
      </c>
      <c r="Z40" s="989">
        <f t="shared" si="10"/>
        <v>4166.666666666667</v>
      </c>
      <c r="AA40" s="996">
        <f t="shared" si="11"/>
        <v>5000</v>
      </c>
    </row>
    <row r="41" spans="1:27" s="987" customFormat="1" x14ac:dyDescent="0.25">
      <c r="A41" s="162" t="s">
        <v>1228</v>
      </c>
      <c r="B41" s="409"/>
      <c r="C41" s="414"/>
      <c r="D41" s="414"/>
      <c r="E41" s="1028"/>
      <c r="F41" s="1028">
        <v>33600</v>
      </c>
      <c r="G41" s="677">
        <f t="shared" si="8"/>
        <v>33600</v>
      </c>
      <c r="H41" s="677">
        <f t="shared" si="3"/>
        <v>25200</v>
      </c>
      <c r="I41" s="677">
        <f t="shared" ref="I41" si="17">G41/12</f>
        <v>2800</v>
      </c>
      <c r="J41" s="989">
        <f t="shared" ref="J41" si="18">H41+I41</f>
        <v>28000</v>
      </c>
      <c r="K41" s="937"/>
      <c r="L41" s="997"/>
      <c r="M41" s="997"/>
      <c r="N41" s="997"/>
      <c r="O41" s="997">
        <v>33600</v>
      </c>
      <c r="P41" s="937"/>
      <c r="Q41" s="997"/>
      <c r="R41" s="997"/>
      <c r="S41" s="997"/>
      <c r="T41" s="937"/>
      <c r="U41" s="937"/>
      <c r="V41" s="937"/>
      <c r="W41" s="997">
        <f t="shared" si="5"/>
        <v>33600</v>
      </c>
      <c r="X41" s="997">
        <f t="shared" si="6"/>
        <v>0</v>
      </c>
      <c r="Y41" s="989">
        <f t="shared" ref="Y41" si="19">W41+X41</f>
        <v>33600</v>
      </c>
      <c r="Z41" s="989">
        <f t="shared" ref="Z41" si="20">J41-Y41</f>
        <v>-5600</v>
      </c>
      <c r="AA41" s="996">
        <f t="shared" ref="AA41" si="21">G41-Y41</f>
        <v>0</v>
      </c>
    </row>
    <row r="42" spans="1:27" x14ac:dyDescent="0.25">
      <c r="A42" s="110" t="s">
        <v>108</v>
      </c>
      <c r="B42" s="408"/>
      <c r="C42" s="123">
        <f>SUM(C8:C41)</f>
        <v>1176890</v>
      </c>
      <c r="D42" s="123">
        <f>SUM(D8:D41)</f>
        <v>5060</v>
      </c>
      <c r="E42" s="123">
        <f t="shared" ref="E42:AA42" si="22">SUM(E8:E41)</f>
        <v>0</v>
      </c>
      <c r="F42" s="123">
        <f t="shared" si="22"/>
        <v>100000</v>
      </c>
      <c r="G42" s="123">
        <f t="shared" si="22"/>
        <v>1281950</v>
      </c>
      <c r="H42" s="123">
        <f t="shared" si="22"/>
        <v>961462.5</v>
      </c>
      <c r="I42" s="123">
        <f t="shared" si="22"/>
        <v>106829.16666666664</v>
      </c>
      <c r="J42" s="123">
        <f t="shared" si="22"/>
        <v>1068291.666666667</v>
      </c>
      <c r="K42" s="123">
        <f t="shared" si="22"/>
        <v>26323.88</v>
      </c>
      <c r="L42" s="123">
        <f t="shared" si="22"/>
        <v>105771.51000000001</v>
      </c>
      <c r="M42" s="123">
        <f t="shared" si="22"/>
        <v>100633.67</v>
      </c>
      <c r="N42" s="123">
        <f t="shared" si="22"/>
        <v>90714</v>
      </c>
      <c r="O42" s="123">
        <f t="shared" si="22"/>
        <v>112124</v>
      </c>
      <c r="P42" s="123">
        <f t="shared" si="22"/>
        <v>62159.380000000005</v>
      </c>
      <c r="Q42" s="726">
        <f t="shared" si="22"/>
        <v>89933.3</v>
      </c>
      <c r="R42" s="726">
        <f t="shared" si="22"/>
        <v>64634</v>
      </c>
      <c r="S42" s="726">
        <f t="shared" si="22"/>
        <v>115316</v>
      </c>
      <c r="T42" s="123">
        <f t="shared" si="22"/>
        <v>51219</v>
      </c>
      <c r="U42" s="123">
        <f t="shared" si="22"/>
        <v>0</v>
      </c>
      <c r="V42" s="123">
        <f t="shared" si="22"/>
        <v>0</v>
      </c>
      <c r="W42" s="123">
        <f t="shared" si="22"/>
        <v>767609.74</v>
      </c>
      <c r="X42" s="123">
        <f t="shared" si="22"/>
        <v>51219</v>
      </c>
      <c r="Y42" s="123">
        <f t="shared" si="22"/>
        <v>818828.74</v>
      </c>
      <c r="Z42" s="123">
        <f t="shared" si="22"/>
        <v>249462.92666666664</v>
      </c>
      <c r="AA42" s="123">
        <f t="shared" si="22"/>
        <v>463121.26</v>
      </c>
    </row>
    <row r="43" spans="1:27" x14ac:dyDescent="0.25">
      <c r="A43" s="110" t="s">
        <v>109</v>
      </c>
      <c r="B43" s="172"/>
      <c r="C43" s="720"/>
      <c r="D43" s="720"/>
      <c r="E43" s="1011"/>
      <c r="F43" s="1011"/>
      <c r="G43" s="720"/>
      <c r="H43" s="720"/>
      <c r="I43" s="720"/>
      <c r="J43" s="716"/>
      <c r="K43" s="736"/>
      <c r="L43" s="997"/>
      <c r="M43" s="997"/>
      <c r="N43" s="997"/>
      <c r="O43" s="997"/>
      <c r="P43" s="736"/>
      <c r="Q43" s="997"/>
      <c r="R43" s="997"/>
      <c r="S43" s="997"/>
      <c r="T43" s="736"/>
      <c r="U43" s="736"/>
      <c r="V43" s="736"/>
      <c r="W43" s="736"/>
      <c r="X43" s="736"/>
      <c r="Y43" s="736"/>
      <c r="Z43" s="716"/>
      <c r="AA43" s="736"/>
    </row>
    <row r="44" spans="1:27" x14ac:dyDescent="0.25">
      <c r="A44" s="110" t="s">
        <v>320</v>
      </c>
      <c r="B44" s="172"/>
      <c r="C44" s="720"/>
      <c r="D44" s="720"/>
      <c r="E44" s="1011"/>
      <c r="F44" s="1011"/>
      <c r="G44" s="720"/>
      <c r="H44" s="720"/>
      <c r="I44" s="720"/>
      <c r="J44" s="716"/>
      <c r="K44" s="736"/>
      <c r="L44" s="997"/>
      <c r="M44" s="997"/>
      <c r="N44" s="997"/>
      <c r="O44" s="997"/>
      <c r="P44" s="736"/>
      <c r="Q44" s="997"/>
      <c r="R44" s="997"/>
      <c r="S44" s="997"/>
      <c r="T44" s="736"/>
      <c r="U44" s="736"/>
      <c r="V44" s="736"/>
      <c r="W44" s="997">
        <f t="shared" ref="W44:W52" si="23">K44+L44+M44+N44+O44+P44+Q44+R44+S44</f>
        <v>0</v>
      </c>
      <c r="X44" s="997">
        <f t="shared" ref="X44:X52" si="24">T44</f>
        <v>0</v>
      </c>
      <c r="Y44" s="732">
        <f t="shared" ref="Y44:Y52" si="25">W44+X44</f>
        <v>0</v>
      </c>
      <c r="Z44" s="716">
        <f t="shared" ref="Z44:Z52" si="26">J44-Y44</f>
        <v>0</v>
      </c>
      <c r="AA44" s="859">
        <f t="shared" ref="AA44:AA52" si="27">G44-Y44</f>
        <v>0</v>
      </c>
    </row>
    <row r="45" spans="1:27" x14ac:dyDescent="0.25">
      <c r="A45" s="854"/>
      <c r="B45" s="172"/>
      <c r="C45" s="720"/>
      <c r="D45" s="720"/>
      <c r="E45" s="1011"/>
      <c r="F45" s="1011"/>
      <c r="G45" s="720"/>
      <c r="H45" s="720"/>
      <c r="I45" s="720"/>
      <c r="J45" s="716"/>
      <c r="K45" s="855"/>
      <c r="L45" s="997"/>
      <c r="M45" s="997"/>
      <c r="N45" s="997"/>
      <c r="O45" s="997"/>
      <c r="P45" s="855"/>
      <c r="Q45" s="997"/>
      <c r="R45" s="997"/>
      <c r="S45" s="997"/>
      <c r="T45" s="855"/>
      <c r="U45" s="855"/>
      <c r="V45" s="855"/>
      <c r="W45" s="997">
        <f t="shared" si="23"/>
        <v>0</v>
      </c>
      <c r="X45" s="997">
        <f t="shared" si="24"/>
        <v>0</v>
      </c>
      <c r="Y45" s="732">
        <f t="shared" si="25"/>
        <v>0</v>
      </c>
      <c r="Z45" s="716">
        <f t="shared" si="26"/>
        <v>0</v>
      </c>
      <c r="AA45" s="859">
        <f t="shared" si="27"/>
        <v>0</v>
      </c>
    </row>
    <row r="46" spans="1:27" x14ac:dyDescent="0.25">
      <c r="A46" s="857" t="s">
        <v>1104</v>
      </c>
      <c r="B46" s="172"/>
      <c r="C46" s="720">
        <v>17858</v>
      </c>
      <c r="D46" s="720"/>
      <c r="E46" s="1011"/>
      <c r="F46" s="1011"/>
      <c r="G46" s="677">
        <f t="shared" ref="G46:G52" si="28">SUM(C46:E46)+F46</f>
        <v>17858</v>
      </c>
      <c r="H46" s="720">
        <f>G46</f>
        <v>17858</v>
      </c>
      <c r="I46" s="720">
        <f>G46</f>
        <v>17858</v>
      </c>
      <c r="J46" s="716">
        <f>G46</f>
        <v>17858</v>
      </c>
      <c r="K46" s="855"/>
      <c r="L46" s="997">
        <v>8865</v>
      </c>
      <c r="M46" s="997">
        <v>8700</v>
      </c>
      <c r="N46" s="997"/>
      <c r="O46" s="997"/>
      <c r="P46" s="855"/>
      <c r="Q46" s="997"/>
      <c r="R46" s="997"/>
      <c r="S46" s="997"/>
      <c r="T46" s="855"/>
      <c r="U46" s="855"/>
      <c r="V46" s="855"/>
      <c r="W46" s="997">
        <f t="shared" si="23"/>
        <v>17565</v>
      </c>
      <c r="X46" s="997">
        <f t="shared" si="24"/>
        <v>0</v>
      </c>
      <c r="Y46" s="989">
        <f t="shared" si="25"/>
        <v>17565</v>
      </c>
      <c r="Z46" s="716">
        <f t="shared" si="26"/>
        <v>293</v>
      </c>
      <c r="AA46" s="859">
        <f t="shared" si="27"/>
        <v>293</v>
      </c>
    </row>
    <row r="47" spans="1:27" x14ac:dyDescent="0.25">
      <c r="A47" s="845" t="s">
        <v>325</v>
      </c>
      <c r="B47" s="844" t="s">
        <v>111</v>
      </c>
      <c r="C47" s="720"/>
      <c r="D47" s="720"/>
      <c r="E47" s="1011"/>
      <c r="F47" s="1011"/>
      <c r="G47" s="677">
        <f t="shared" si="28"/>
        <v>0</v>
      </c>
      <c r="H47" s="720">
        <f t="shared" ref="H47:H52" si="29">G47</f>
        <v>0</v>
      </c>
      <c r="I47" s="720">
        <f t="shared" ref="I47:I52" si="30">G47</f>
        <v>0</v>
      </c>
      <c r="J47" s="716">
        <f t="shared" ref="J47:J52" si="31">G47</f>
        <v>0</v>
      </c>
      <c r="K47" s="736"/>
      <c r="L47" s="997"/>
      <c r="M47" s="997"/>
      <c r="N47" s="997"/>
      <c r="O47" s="997"/>
      <c r="P47" s="736"/>
      <c r="Q47" s="997"/>
      <c r="R47" s="997"/>
      <c r="S47" s="997"/>
      <c r="T47" s="736"/>
      <c r="U47" s="736"/>
      <c r="V47" s="736"/>
      <c r="W47" s="997">
        <f t="shared" si="23"/>
        <v>0</v>
      </c>
      <c r="X47" s="997">
        <f t="shared" si="24"/>
        <v>0</v>
      </c>
      <c r="Y47" s="732">
        <f t="shared" si="25"/>
        <v>0</v>
      </c>
      <c r="Z47" s="716">
        <f t="shared" si="26"/>
        <v>0</v>
      </c>
      <c r="AA47" s="859">
        <f t="shared" si="27"/>
        <v>0</v>
      </c>
    </row>
    <row r="48" spans="1:27" x14ac:dyDescent="0.25">
      <c r="A48" s="846" t="s">
        <v>905</v>
      </c>
      <c r="B48" s="844"/>
      <c r="C48" s="720">
        <v>6000</v>
      </c>
      <c r="D48" s="720"/>
      <c r="E48" s="1011"/>
      <c r="F48" s="1011"/>
      <c r="G48" s="677">
        <f t="shared" si="28"/>
        <v>6000</v>
      </c>
      <c r="H48" s="720">
        <f t="shared" si="29"/>
        <v>6000</v>
      </c>
      <c r="I48" s="720">
        <f t="shared" si="30"/>
        <v>6000</v>
      </c>
      <c r="J48" s="716">
        <f t="shared" si="31"/>
        <v>6000</v>
      </c>
      <c r="K48" s="736"/>
      <c r="L48" s="997"/>
      <c r="M48" s="997"/>
      <c r="N48" s="997"/>
      <c r="O48" s="997"/>
      <c r="P48" s="736"/>
      <c r="Q48" s="997">
        <v>6000</v>
      </c>
      <c r="R48" s="997"/>
      <c r="S48" s="997"/>
      <c r="T48" s="736"/>
      <c r="U48" s="736"/>
      <c r="V48" s="736"/>
      <c r="W48" s="997">
        <f t="shared" si="23"/>
        <v>6000</v>
      </c>
      <c r="X48" s="997">
        <f t="shared" si="24"/>
        <v>0</v>
      </c>
      <c r="Y48" s="732">
        <f t="shared" si="25"/>
        <v>6000</v>
      </c>
      <c r="Z48" s="716">
        <f t="shared" si="26"/>
        <v>0</v>
      </c>
      <c r="AA48" s="859">
        <f t="shared" si="27"/>
        <v>0</v>
      </c>
    </row>
    <row r="49" spans="1:27" x14ac:dyDescent="0.25">
      <c r="A49" s="848" t="s">
        <v>490</v>
      </c>
      <c r="B49" s="847" t="s">
        <v>212</v>
      </c>
      <c r="C49" s="720"/>
      <c r="D49" s="720"/>
      <c r="E49" s="1011"/>
      <c r="F49" s="1011"/>
      <c r="G49" s="677">
        <f t="shared" si="28"/>
        <v>0</v>
      </c>
      <c r="H49" s="720">
        <f t="shared" si="29"/>
        <v>0</v>
      </c>
      <c r="I49" s="720">
        <f t="shared" si="30"/>
        <v>0</v>
      </c>
      <c r="J49" s="716">
        <f t="shared" si="31"/>
        <v>0</v>
      </c>
      <c r="K49" s="842"/>
      <c r="L49" s="997"/>
      <c r="M49" s="997"/>
      <c r="N49" s="997"/>
      <c r="O49" s="997"/>
      <c r="P49" s="842"/>
      <c r="Q49" s="997"/>
      <c r="R49" s="997"/>
      <c r="S49" s="997"/>
      <c r="T49" s="842"/>
      <c r="U49" s="842"/>
      <c r="V49" s="842"/>
      <c r="W49" s="997">
        <f t="shared" si="23"/>
        <v>0</v>
      </c>
      <c r="X49" s="997">
        <f t="shared" si="24"/>
        <v>0</v>
      </c>
      <c r="Y49" s="732">
        <f t="shared" si="25"/>
        <v>0</v>
      </c>
      <c r="Z49" s="716">
        <f t="shared" si="26"/>
        <v>0</v>
      </c>
      <c r="AA49" s="859">
        <f t="shared" si="27"/>
        <v>0</v>
      </c>
    </row>
    <row r="50" spans="1:27" x14ac:dyDescent="0.25">
      <c r="A50" s="849" t="s">
        <v>1101</v>
      </c>
      <c r="B50" s="847"/>
      <c r="C50" s="720">
        <v>3000</v>
      </c>
      <c r="D50" s="720"/>
      <c r="E50" s="1011"/>
      <c r="F50" s="1011"/>
      <c r="G50" s="677">
        <f t="shared" si="28"/>
        <v>3000</v>
      </c>
      <c r="H50" s="720">
        <f t="shared" si="29"/>
        <v>3000</v>
      </c>
      <c r="I50" s="720">
        <f t="shared" si="30"/>
        <v>3000</v>
      </c>
      <c r="J50" s="716">
        <f t="shared" si="31"/>
        <v>3000</v>
      </c>
      <c r="K50" s="842"/>
      <c r="L50" s="997"/>
      <c r="M50" s="997"/>
      <c r="N50" s="997"/>
      <c r="O50" s="997"/>
      <c r="P50" s="842"/>
      <c r="Q50" s="997"/>
      <c r="R50" s="997"/>
      <c r="S50" s="997"/>
      <c r="T50" s="842"/>
      <c r="U50" s="842"/>
      <c r="V50" s="842"/>
      <c r="W50" s="997">
        <f t="shared" si="23"/>
        <v>0</v>
      </c>
      <c r="X50" s="997">
        <f t="shared" si="24"/>
        <v>0</v>
      </c>
      <c r="Y50" s="732">
        <f t="shared" si="25"/>
        <v>0</v>
      </c>
      <c r="Z50" s="716">
        <f t="shared" si="26"/>
        <v>3000</v>
      </c>
      <c r="AA50" s="859">
        <f t="shared" si="27"/>
        <v>3000</v>
      </c>
    </row>
    <row r="51" spans="1:27" ht="15" customHeight="1" x14ac:dyDescent="0.25">
      <c r="A51" s="851" t="s">
        <v>493</v>
      </c>
      <c r="B51" s="853" t="s">
        <v>1103</v>
      </c>
      <c r="C51" s="720"/>
      <c r="D51" s="720"/>
      <c r="E51" s="1011"/>
      <c r="F51" s="1011"/>
      <c r="G51" s="677">
        <f t="shared" si="28"/>
        <v>0</v>
      </c>
      <c r="H51" s="720">
        <f t="shared" si="29"/>
        <v>0</v>
      </c>
      <c r="I51" s="720">
        <f t="shared" si="30"/>
        <v>0</v>
      </c>
      <c r="J51" s="716">
        <f t="shared" si="31"/>
        <v>0</v>
      </c>
      <c r="K51" s="842"/>
      <c r="L51" s="997"/>
      <c r="M51" s="997"/>
      <c r="N51" s="997"/>
      <c r="O51" s="997"/>
      <c r="P51" s="842"/>
      <c r="Q51" s="997"/>
      <c r="R51" s="997"/>
      <c r="S51" s="997"/>
      <c r="T51" s="842"/>
      <c r="U51" s="842"/>
      <c r="V51" s="842"/>
      <c r="W51" s="997">
        <f t="shared" si="23"/>
        <v>0</v>
      </c>
      <c r="X51" s="997">
        <f t="shared" si="24"/>
        <v>0</v>
      </c>
      <c r="Y51" s="732">
        <f t="shared" si="25"/>
        <v>0</v>
      </c>
      <c r="Z51" s="716">
        <f t="shared" si="26"/>
        <v>0</v>
      </c>
      <c r="AA51" s="859">
        <f t="shared" si="27"/>
        <v>0</v>
      </c>
    </row>
    <row r="52" spans="1:27" x14ac:dyDescent="0.25">
      <c r="A52" s="852" t="s">
        <v>1102</v>
      </c>
      <c r="B52" s="172"/>
      <c r="C52" s="720">
        <v>25000</v>
      </c>
      <c r="D52" s="720"/>
      <c r="E52" s="1011">
        <f>-25000</f>
        <v>-25000</v>
      </c>
      <c r="F52" s="1011"/>
      <c r="G52" s="677">
        <f t="shared" si="28"/>
        <v>0</v>
      </c>
      <c r="H52" s="720">
        <f t="shared" si="29"/>
        <v>0</v>
      </c>
      <c r="I52" s="720">
        <f t="shared" si="30"/>
        <v>0</v>
      </c>
      <c r="J52" s="716">
        <f t="shared" si="31"/>
        <v>0</v>
      </c>
      <c r="K52" s="850"/>
      <c r="L52" s="997"/>
      <c r="M52" s="997"/>
      <c r="N52" s="997"/>
      <c r="O52" s="997"/>
      <c r="P52" s="850"/>
      <c r="Q52" s="997"/>
      <c r="R52" s="997"/>
      <c r="S52" s="997"/>
      <c r="T52" s="850"/>
      <c r="U52" s="850"/>
      <c r="V52" s="850"/>
      <c r="W52" s="997">
        <f t="shared" si="23"/>
        <v>0</v>
      </c>
      <c r="X52" s="997">
        <f t="shared" si="24"/>
        <v>0</v>
      </c>
      <c r="Y52" s="732">
        <f t="shared" si="25"/>
        <v>0</v>
      </c>
      <c r="Z52" s="716">
        <f t="shared" si="26"/>
        <v>0</v>
      </c>
      <c r="AA52" s="859">
        <f t="shared" si="27"/>
        <v>0</v>
      </c>
    </row>
    <row r="53" spans="1:27" x14ac:dyDescent="0.25">
      <c r="A53" s="110" t="s">
        <v>322</v>
      </c>
      <c r="B53" s="172"/>
      <c r="C53" s="726">
        <f>SUM(C46:C52)</f>
        <v>51858</v>
      </c>
      <c r="D53" s="726">
        <f>SUM(D46:D52)</f>
        <v>0</v>
      </c>
      <c r="E53" s="726">
        <f t="shared" ref="E53:AA53" si="32">SUM(E46:E52)</f>
        <v>-25000</v>
      </c>
      <c r="F53" s="726">
        <f t="shared" si="32"/>
        <v>0</v>
      </c>
      <c r="G53" s="726">
        <f t="shared" si="32"/>
        <v>26858</v>
      </c>
      <c r="H53" s="726">
        <f t="shared" si="32"/>
        <v>26858</v>
      </c>
      <c r="I53" s="726">
        <f t="shared" si="32"/>
        <v>26858</v>
      </c>
      <c r="J53" s="726">
        <f t="shared" si="32"/>
        <v>26858</v>
      </c>
      <c r="K53" s="726">
        <f t="shared" si="32"/>
        <v>0</v>
      </c>
      <c r="L53" s="726">
        <f t="shared" si="32"/>
        <v>8865</v>
      </c>
      <c r="M53" s="726">
        <f t="shared" si="32"/>
        <v>8700</v>
      </c>
      <c r="N53" s="726">
        <f t="shared" si="32"/>
        <v>0</v>
      </c>
      <c r="O53" s="726">
        <f t="shared" si="32"/>
        <v>0</v>
      </c>
      <c r="P53" s="726">
        <f t="shared" si="32"/>
        <v>0</v>
      </c>
      <c r="Q53" s="726">
        <f t="shared" si="32"/>
        <v>6000</v>
      </c>
      <c r="R53" s="726">
        <f t="shared" si="32"/>
        <v>0</v>
      </c>
      <c r="S53" s="726">
        <f t="shared" si="32"/>
        <v>0</v>
      </c>
      <c r="T53" s="726">
        <f t="shared" si="32"/>
        <v>0</v>
      </c>
      <c r="U53" s="726">
        <f t="shared" si="32"/>
        <v>0</v>
      </c>
      <c r="V53" s="726">
        <f t="shared" si="32"/>
        <v>0</v>
      </c>
      <c r="W53" s="726">
        <f t="shared" si="32"/>
        <v>23565</v>
      </c>
      <c r="X53" s="726">
        <f t="shared" si="32"/>
        <v>0</v>
      </c>
      <c r="Y53" s="726">
        <f t="shared" si="32"/>
        <v>23565</v>
      </c>
      <c r="Z53" s="726">
        <f t="shared" si="32"/>
        <v>3293</v>
      </c>
      <c r="AA53" s="726">
        <f t="shared" si="32"/>
        <v>3293</v>
      </c>
    </row>
    <row r="54" spans="1:27" x14ac:dyDescent="0.25">
      <c r="A54" s="110" t="s">
        <v>329</v>
      </c>
      <c r="B54" s="172"/>
      <c r="C54" s="720"/>
      <c r="D54" s="720"/>
      <c r="E54" s="1011"/>
      <c r="F54" s="1011"/>
      <c r="G54" s="720"/>
      <c r="H54" s="720"/>
      <c r="I54" s="720"/>
      <c r="J54" s="716"/>
      <c r="K54" s="736"/>
      <c r="L54" s="997"/>
      <c r="M54" s="997"/>
      <c r="N54" s="997"/>
      <c r="O54" s="997"/>
      <c r="P54" s="736"/>
      <c r="Q54" s="997"/>
      <c r="R54" s="997"/>
      <c r="S54" s="997"/>
      <c r="T54" s="736"/>
      <c r="U54" s="736"/>
      <c r="V54" s="736"/>
      <c r="W54" s="736"/>
      <c r="X54" s="736"/>
      <c r="Y54" s="736"/>
      <c r="Z54" s="716"/>
      <c r="AA54" s="736"/>
    </row>
    <row r="55" spans="1:27" x14ac:dyDescent="0.25">
      <c r="A55" s="1075" t="s">
        <v>110</v>
      </c>
      <c r="B55" s="415" t="s">
        <v>111</v>
      </c>
      <c r="C55" s="720"/>
      <c r="D55" s="720"/>
      <c r="E55" s="1011"/>
      <c r="F55" s="1011"/>
      <c r="G55" s="720"/>
      <c r="H55" s="720"/>
      <c r="I55" s="720"/>
      <c r="J55" s="716"/>
      <c r="K55" s="736"/>
      <c r="L55" s="997"/>
      <c r="M55" s="997"/>
      <c r="N55" s="997"/>
      <c r="O55" s="997"/>
      <c r="P55" s="736"/>
      <c r="Q55" s="997"/>
      <c r="R55" s="997"/>
      <c r="S55" s="997"/>
      <c r="T55" s="736"/>
      <c r="U55" s="736"/>
      <c r="V55" s="736"/>
      <c r="W55" s="997">
        <f t="shared" ref="W55:W59" si="33">K55+L55+M55+N55+O55+P55+Q55+R55+S55</f>
        <v>0</v>
      </c>
      <c r="X55" s="997">
        <f t="shared" ref="X55:X59" si="34">T55</f>
        <v>0</v>
      </c>
      <c r="Y55" s="736"/>
      <c r="Z55" s="716"/>
      <c r="AA55" s="736"/>
    </row>
    <row r="56" spans="1:27" x14ac:dyDescent="0.25">
      <c r="A56" s="180" t="s">
        <v>560</v>
      </c>
      <c r="B56" s="172"/>
      <c r="C56" s="720">
        <v>150000</v>
      </c>
      <c r="D56" s="720"/>
      <c r="E56" s="1011"/>
      <c r="F56" s="1011"/>
      <c r="G56" s="677">
        <f t="shared" ref="G56:G59" si="35">SUM(C56:E56)+F56</f>
        <v>150000</v>
      </c>
      <c r="H56" s="720">
        <f>G56</f>
        <v>150000</v>
      </c>
      <c r="I56" s="720">
        <f>G56</f>
        <v>150000</v>
      </c>
      <c r="J56" s="716">
        <f>G56</f>
        <v>150000</v>
      </c>
      <c r="K56" s="736"/>
      <c r="L56" s="997"/>
      <c r="M56" s="997"/>
      <c r="N56" s="997"/>
      <c r="O56" s="997"/>
      <c r="P56" s="736"/>
      <c r="Q56" s="997">
        <v>145000</v>
      </c>
      <c r="R56" s="997"/>
      <c r="S56" s="997"/>
      <c r="T56" s="736"/>
      <c r="U56" s="736"/>
      <c r="V56" s="736"/>
      <c r="W56" s="997">
        <f t="shared" si="33"/>
        <v>145000</v>
      </c>
      <c r="X56" s="997">
        <f t="shared" si="34"/>
        <v>0</v>
      </c>
      <c r="Y56" s="732">
        <f t="shared" ref="Y56" si="36">W56+X56</f>
        <v>145000</v>
      </c>
      <c r="Z56" s="989">
        <f t="shared" ref="Z56:Z59" si="37">J56-Y56</f>
        <v>5000</v>
      </c>
      <c r="AA56" s="322">
        <f>G56-Y56</f>
        <v>5000</v>
      </c>
    </row>
    <row r="57" spans="1:27" s="987" customFormat="1" x14ac:dyDescent="0.25">
      <c r="A57" s="180" t="s">
        <v>1206</v>
      </c>
      <c r="B57" s="172"/>
      <c r="C57" s="720"/>
      <c r="D57" s="720"/>
      <c r="E57" s="1011">
        <f>350000</f>
        <v>350000</v>
      </c>
      <c r="F57" s="1011"/>
      <c r="G57" s="677">
        <f t="shared" si="35"/>
        <v>350000</v>
      </c>
      <c r="H57" s="720">
        <f t="shared" ref="H57:H59" si="38">G57</f>
        <v>350000</v>
      </c>
      <c r="I57" s="720">
        <f t="shared" ref="I57:I59" si="39">G57</f>
        <v>350000</v>
      </c>
      <c r="J57" s="989">
        <f t="shared" ref="J57:J59" si="40">G57</f>
        <v>350000</v>
      </c>
      <c r="K57" s="937"/>
      <c r="L57" s="997"/>
      <c r="M57" s="997"/>
      <c r="N57" s="997"/>
      <c r="O57" s="997"/>
      <c r="P57" s="937"/>
      <c r="Q57" s="997"/>
      <c r="R57" s="997"/>
      <c r="S57" s="997">
        <f>81400+172500+93800</f>
        <v>347700</v>
      </c>
      <c r="T57" s="937"/>
      <c r="U57" s="937"/>
      <c r="V57" s="937"/>
      <c r="W57" s="997">
        <f t="shared" si="33"/>
        <v>347700</v>
      </c>
      <c r="X57" s="997">
        <f t="shared" si="34"/>
        <v>0</v>
      </c>
      <c r="Y57" s="990">
        <f t="shared" ref="Y57:Y59" si="41">W57+X57</f>
        <v>347700</v>
      </c>
      <c r="Z57" s="989">
        <f t="shared" si="37"/>
        <v>2300</v>
      </c>
      <c r="AA57" s="996">
        <f t="shared" ref="AA57:AA59" si="42">G57-Y57</f>
        <v>2300</v>
      </c>
    </row>
    <row r="58" spans="1:27" s="987" customFormat="1" x14ac:dyDescent="0.25">
      <c r="A58" s="286" t="s">
        <v>241</v>
      </c>
      <c r="B58" s="172"/>
      <c r="C58" s="720"/>
      <c r="D58" s="720"/>
      <c r="E58" s="1011"/>
      <c r="F58" s="1011"/>
      <c r="G58" s="677">
        <f t="shared" si="35"/>
        <v>0</v>
      </c>
      <c r="H58" s="720">
        <f t="shared" si="38"/>
        <v>0</v>
      </c>
      <c r="I58" s="720">
        <f t="shared" si="39"/>
        <v>0</v>
      </c>
      <c r="J58" s="989">
        <f t="shared" si="40"/>
        <v>0</v>
      </c>
      <c r="K58" s="937"/>
      <c r="L58" s="997"/>
      <c r="M58" s="997"/>
      <c r="N58" s="997"/>
      <c r="O58" s="997"/>
      <c r="P58" s="937"/>
      <c r="Q58" s="997"/>
      <c r="R58" s="997"/>
      <c r="S58" s="997"/>
      <c r="T58" s="937"/>
      <c r="U58" s="937"/>
      <c r="V58" s="937"/>
      <c r="W58" s="997">
        <f t="shared" si="33"/>
        <v>0</v>
      </c>
      <c r="X58" s="997">
        <f t="shared" si="34"/>
        <v>0</v>
      </c>
      <c r="Y58" s="990">
        <f t="shared" si="41"/>
        <v>0</v>
      </c>
      <c r="Z58" s="989">
        <f t="shared" si="37"/>
        <v>0</v>
      </c>
      <c r="AA58" s="996">
        <f t="shared" si="42"/>
        <v>0</v>
      </c>
    </row>
    <row r="59" spans="1:27" s="987" customFormat="1" ht="26.25" x14ac:dyDescent="0.25">
      <c r="A59" s="1074" t="s">
        <v>1207</v>
      </c>
      <c r="B59" s="172"/>
      <c r="C59" s="720"/>
      <c r="D59" s="720"/>
      <c r="E59" s="1011">
        <f>80458.83</f>
        <v>80458.83</v>
      </c>
      <c r="F59" s="1011"/>
      <c r="G59" s="677">
        <f t="shared" si="35"/>
        <v>80458.83</v>
      </c>
      <c r="H59" s="720">
        <f t="shared" si="38"/>
        <v>80458.83</v>
      </c>
      <c r="I59" s="720">
        <f t="shared" si="39"/>
        <v>80458.83</v>
      </c>
      <c r="J59" s="989">
        <f t="shared" si="40"/>
        <v>80458.83</v>
      </c>
      <c r="K59" s="937"/>
      <c r="L59" s="997"/>
      <c r="M59" s="997"/>
      <c r="N59" s="997"/>
      <c r="O59" s="997"/>
      <c r="P59" s="937"/>
      <c r="Q59" s="997">
        <v>80458</v>
      </c>
      <c r="R59" s="997"/>
      <c r="S59" s="997"/>
      <c r="T59" s="937"/>
      <c r="U59" s="937"/>
      <c r="V59" s="937"/>
      <c r="W59" s="997">
        <f t="shared" si="33"/>
        <v>80458</v>
      </c>
      <c r="X59" s="997">
        <f t="shared" si="34"/>
        <v>0</v>
      </c>
      <c r="Y59" s="990">
        <f t="shared" si="41"/>
        <v>80458</v>
      </c>
      <c r="Z59" s="989">
        <f t="shared" si="37"/>
        <v>0.83000000000174623</v>
      </c>
      <c r="AA59" s="996">
        <f t="shared" si="42"/>
        <v>0.83000000000174623</v>
      </c>
    </row>
    <row r="60" spans="1:27" x14ac:dyDescent="0.25">
      <c r="A60" s="110" t="s">
        <v>328</v>
      </c>
      <c r="B60" s="155"/>
      <c r="C60" s="657">
        <f t="shared" ref="C60:AA60" si="43">SUM(C56:C59)</f>
        <v>150000</v>
      </c>
      <c r="D60" s="657">
        <f t="shared" ref="D60" si="44">SUM(D56:D59)</f>
        <v>0</v>
      </c>
      <c r="E60" s="657">
        <f t="shared" si="43"/>
        <v>430458.83</v>
      </c>
      <c r="F60" s="657">
        <f t="shared" si="43"/>
        <v>0</v>
      </c>
      <c r="G60" s="657">
        <f t="shared" si="43"/>
        <v>580458.82999999996</v>
      </c>
      <c r="H60" s="657">
        <f t="shared" si="43"/>
        <v>580458.82999999996</v>
      </c>
      <c r="I60" s="657">
        <f t="shared" si="43"/>
        <v>580458.82999999996</v>
      </c>
      <c r="J60" s="657">
        <f t="shared" si="43"/>
        <v>580458.82999999996</v>
      </c>
      <c r="K60" s="657">
        <f t="shared" si="43"/>
        <v>0</v>
      </c>
      <c r="L60" s="657">
        <f t="shared" si="43"/>
        <v>0</v>
      </c>
      <c r="M60" s="657">
        <f t="shared" si="43"/>
        <v>0</v>
      </c>
      <c r="N60" s="657">
        <f t="shared" si="43"/>
        <v>0</v>
      </c>
      <c r="O60" s="657">
        <f t="shared" si="43"/>
        <v>0</v>
      </c>
      <c r="P60" s="657">
        <f t="shared" si="43"/>
        <v>0</v>
      </c>
      <c r="Q60" s="726">
        <f t="shared" si="43"/>
        <v>225458</v>
      </c>
      <c r="R60" s="726">
        <f t="shared" si="43"/>
        <v>0</v>
      </c>
      <c r="S60" s="726">
        <f t="shared" si="43"/>
        <v>347700</v>
      </c>
      <c r="T60" s="657">
        <f t="shared" si="43"/>
        <v>0</v>
      </c>
      <c r="U60" s="657">
        <f t="shared" si="43"/>
        <v>0</v>
      </c>
      <c r="V60" s="657">
        <f t="shared" si="43"/>
        <v>0</v>
      </c>
      <c r="W60" s="657">
        <f t="shared" si="43"/>
        <v>573158</v>
      </c>
      <c r="X60" s="657">
        <f t="shared" si="43"/>
        <v>0</v>
      </c>
      <c r="Y60" s="657">
        <f t="shared" si="43"/>
        <v>573158</v>
      </c>
      <c r="Z60" s="657">
        <f t="shared" si="43"/>
        <v>7300.8300000000017</v>
      </c>
      <c r="AA60" s="657">
        <f t="shared" si="43"/>
        <v>7300.8300000000017</v>
      </c>
    </row>
    <row r="61" spans="1:27" x14ac:dyDescent="0.25">
      <c r="A61" s="110" t="s">
        <v>330</v>
      </c>
      <c r="B61" s="155"/>
      <c r="C61" s="123">
        <f>C53+C60</f>
        <v>201858</v>
      </c>
      <c r="D61" s="123">
        <f>D53+D60</f>
        <v>0</v>
      </c>
      <c r="E61" s="123">
        <f t="shared" ref="E61:AA61" si="45">E53+E60</f>
        <v>405458.83</v>
      </c>
      <c r="F61" s="123">
        <f t="shared" si="45"/>
        <v>0</v>
      </c>
      <c r="G61" s="123">
        <f t="shared" si="45"/>
        <v>607316.82999999996</v>
      </c>
      <c r="H61" s="123">
        <f t="shared" si="45"/>
        <v>607316.82999999996</v>
      </c>
      <c r="I61" s="123">
        <f t="shared" si="45"/>
        <v>607316.82999999996</v>
      </c>
      <c r="J61" s="123">
        <f t="shared" si="45"/>
        <v>607316.82999999996</v>
      </c>
      <c r="K61" s="123">
        <f t="shared" si="45"/>
        <v>0</v>
      </c>
      <c r="L61" s="123">
        <f t="shared" si="45"/>
        <v>8865</v>
      </c>
      <c r="M61" s="123">
        <f t="shared" si="45"/>
        <v>8700</v>
      </c>
      <c r="N61" s="123">
        <f t="shared" si="45"/>
        <v>0</v>
      </c>
      <c r="O61" s="123">
        <f t="shared" si="45"/>
        <v>0</v>
      </c>
      <c r="P61" s="123">
        <f t="shared" si="45"/>
        <v>0</v>
      </c>
      <c r="Q61" s="726">
        <f t="shared" si="45"/>
        <v>231458</v>
      </c>
      <c r="R61" s="726">
        <f t="shared" si="45"/>
        <v>0</v>
      </c>
      <c r="S61" s="726">
        <f t="shared" si="45"/>
        <v>347700</v>
      </c>
      <c r="T61" s="123">
        <f t="shared" si="45"/>
        <v>0</v>
      </c>
      <c r="U61" s="123">
        <f t="shared" si="45"/>
        <v>0</v>
      </c>
      <c r="V61" s="123">
        <f t="shared" si="45"/>
        <v>0</v>
      </c>
      <c r="W61" s="123">
        <f t="shared" si="45"/>
        <v>596723</v>
      </c>
      <c r="X61" s="123">
        <f t="shared" si="45"/>
        <v>0</v>
      </c>
      <c r="Y61" s="123">
        <f t="shared" si="45"/>
        <v>596723</v>
      </c>
      <c r="Z61" s="123">
        <f t="shared" si="45"/>
        <v>10593.830000000002</v>
      </c>
      <c r="AA61" s="123">
        <f t="shared" si="45"/>
        <v>10593.830000000002</v>
      </c>
    </row>
    <row r="62" spans="1:27" ht="15.75" thickBot="1" x14ac:dyDescent="0.3">
      <c r="A62" s="156" t="s">
        <v>160</v>
      </c>
      <c r="B62" s="157"/>
      <c r="C62" s="364">
        <f>C42+C61</f>
        <v>1378748</v>
      </c>
      <c r="D62" s="364">
        <f>D42+D61</f>
        <v>5060</v>
      </c>
      <c r="E62" s="364">
        <f t="shared" ref="E62:AA62" si="46">E42+E61</f>
        <v>405458.83</v>
      </c>
      <c r="F62" s="364">
        <f t="shared" si="46"/>
        <v>100000</v>
      </c>
      <c r="G62" s="364">
        <f t="shared" si="46"/>
        <v>1889266.83</v>
      </c>
      <c r="H62" s="364">
        <f t="shared" si="46"/>
        <v>1568779.33</v>
      </c>
      <c r="I62" s="364">
        <f t="shared" si="46"/>
        <v>714145.99666666659</v>
      </c>
      <c r="J62" s="364">
        <f t="shared" si="46"/>
        <v>1675608.4966666671</v>
      </c>
      <c r="K62" s="364">
        <f t="shared" si="46"/>
        <v>26323.88</v>
      </c>
      <c r="L62" s="364">
        <f t="shared" si="46"/>
        <v>114636.51000000001</v>
      </c>
      <c r="M62" s="364">
        <f t="shared" si="46"/>
        <v>109333.67</v>
      </c>
      <c r="N62" s="364">
        <f t="shared" si="46"/>
        <v>90714</v>
      </c>
      <c r="O62" s="364">
        <f t="shared" si="46"/>
        <v>112124</v>
      </c>
      <c r="P62" s="364">
        <f t="shared" si="46"/>
        <v>62159.380000000005</v>
      </c>
      <c r="Q62" s="324">
        <f t="shared" si="46"/>
        <v>321391.3</v>
      </c>
      <c r="R62" s="324">
        <f t="shared" si="46"/>
        <v>64634</v>
      </c>
      <c r="S62" s="324">
        <f t="shared" si="46"/>
        <v>463016</v>
      </c>
      <c r="T62" s="364">
        <f t="shared" si="46"/>
        <v>51219</v>
      </c>
      <c r="U62" s="364">
        <f t="shared" si="46"/>
        <v>0</v>
      </c>
      <c r="V62" s="364">
        <f t="shared" si="46"/>
        <v>0</v>
      </c>
      <c r="W62" s="364">
        <f t="shared" si="46"/>
        <v>1364332.74</v>
      </c>
      <c r="X62" s="364">
        <f t="shared" si="46"/>
        <v>51219</v>
      </c>
      <c r="Y62" s="364">
        <f t="shared" si="46"/>
        <v>1415551.74</v>
      </c>
      <c r="Z62" s="364">
        <f t="shared" si="46"/>
        <v>260056.75666666665</v>
      </c>
      <c r="AA62" s="364">
        <f t="shared" si="46"/>
        <v>473715.09</v>
      </c>
    </row>
    <row r="63" spans="1:27" s="987" customFormat="1" ht="15.75" thickTop="1" x14ac:dyDescent="0.25">
      <c r="A63" s="15"/>
      <c r="B63" s="16"/>
      <c r="C63" s="453"/>
      <c r="D63" s="453"/>
      <c r="E63" s="1148"/>
      <c r="F63" s="1148"/>
      <c r="G63" s="453"/>
      <c r="H63" s="453"/>
      <c r="I63" s="453"/>
      <c r="J63" s="453"/>
      <c r="K63" s="453"/>
      <c r="L63" s="748"/>
      <c r="M63" s="748"/>
      <c r="N63" s="748"/>
      <c r="O63" s="748"/>
      <c r="P63" s="453"/>
      <c r="Q63" s="748"/>
      <c r="R63" s="748"/>
      <c r="S63" s="748"/>
      <c r="T63" s="453"/>
      <c r="U63" s="453"/>
      <c r="V63" s="453"/>
      <c r="W63" s="453"/>
      <c r="X63" s="453"/>
      <c r="Y63" s="453"/>
      <c r="Z63" s="453"/>
      <c r="AA63" s="453"/>
    </row>
    <row r="66" spans="1:26" x14ac:dyDescent="0.25">
      <c r="A66" s="712" t="s">
        <v>354</v>
      </c>
      <c r="B66" s="30"/>
      <c r="C66" s="35"/>
      <c r="D66" s="35"/>
      <c r="E66" s="35"/>
      <c r="F66" s="35"/>
      <c r="G66" s="35"/>
      <c r="H66" s="35"/>
      <c r="I66" s="35"/>
      <c r="Z66" s="743" t="s">
        <v>357</v>
      </c>
    </row>
    <row r="67" spans="1:26" s="987" customFormat="1" x14ac:dyDescent="0.25">
      <c r="B67" s="988"/>
      <c r="C67" s="36"/>
      <c r="D67" s="36"/>
      <c r="E67" s="1026"/>
      <c r="F67" s="1026"/>
      <c r="G67" s="36"/>
      <c r="H67" s="36"/>
      <c r="I67" s="36"/>
      <c r="L67" s="303"/>
      <c r="M67" s="303"/>
      <c r="N67" s="303"/>
      <c r="O67" s="303"/>
      <c r="Q67" s="303"/>
      <c r="R67" s="303"/>
      <c r="S67" s="303"/>
    </row>
    <row r="68" spans="1:26" s="987" customFormat="1" x14ac:dyDescent="0.25">
      <c r="B68" s="988"/>
      <c r="C68" s="36"/>
      <c r="D68" s="36"/>
      <c r="E68" s="1026"/>
      <c r="F68" s="1026"/>
      <c r="G68" s="36"/>
      <c r="H68" s="36"/>
      <c r="I68" s="36"/>
      <c r="L68" s="303"/>
      <c r="M68" s="303"/>
      <c r="N68" s="303"/>
      <c r="O68" s="303"/>
      <c r="Q68" s="303"/>
      <c r="R68" s="303"/>
      <c r="S68" s="303"/>
    </row>
    <row r="69" spans="1:26" s="987" customFormat="1" x14ac:dyDescent="0.25">
      <c r="B69" s="988"/>
      <c r="C69" s="36"/>
      <c r="D69" s="36"/>
      <c r="E69" s="1026"/>
      <c r="F69" s="1026"/>
      <c r="G69" s="36"/>
      <c r="H69" s="36"/>
      <c r="I69" s="36"/>
      <c r="L69" s="303"/>
      <c r="M69" s="303"/>
      <c r="N69" s="303"/>
      <c r="O69" s="303"/>
      <c r="Q69" s="303"/>
      <c r="R69" s="303"/>
      <c r="S69" s="303"/>
    </row>
    <row r="70" spans="1:26" s="987" customFormat="1" x14ac:dyDescent="0.25">
      <c r="B70" s="988"/>
      <c r="C70" s="36"/>
      <c r="D70" s="36"/>
      <c r="E70" s="1026"/>
      <c r="F70" s="1026"/>
      <c r="G70" s="36"/>
      <c r="H70" s="36"/>
      <c r="I70" s="36"/>
      <c r="L70" s="303"/>
      <c r="M70" s="303"/>
      <c r="N70" s="303"/>
      <c r="O70" s="303"/>
      <c r="Q70" s="303"/>
      <c r="R70" s="303"/>
      <c r="S70" s="303"/>
    </row>
    <row r="71" spans="1:26" x14ac:dyDescent="0.25">
      <c r="A71" s="742" t="s">
        <v>355</v>
      </c>
      <c r="B71" s="710"/>
      <c r="C71" s="31"/>
      <c r="D71" s="31"/>
      <c r="E71" s="1027"/>
      <c r="F71" s="1027"/>
      <c r="G71" s="31"/>
      <c r="H71" s="31"/>
      <c r="I71" s="31"/>
      <c r="Z71" s="744" t="s">
        <v>358</v>
      </c>
    </row>
    <row r="72" spans="1:26" x14ac:dyDescent="0.25">
      <c r="A72" s="743" t="s">
        <v>356</v>
      </c>
      <c r="Z72" s="743" t="s">
        <v>359</v>
      </c>
    </row>
  </sheetData>
  <mergeCells count="3">
    <mergeCell ref="A1:Y1"/>
    <mergeCell ref="A2:Y2"/>
    <mergeCell ref="A3:Y3"/>
  </mergeCells>
  <printOptions horizontalCentered="1" headings="1"/>
  <pageMargins left="0.95" right="0.2" top="1.25" bottom="0.25" header="0.3" footer="0.3"/>
  <pageSetup paperSize="5" scale="68" orientation="landscape" horizontalDpi="300" verticalDpi="300" r:id="rId1"/>
  <rowBreaks count="1" manualBreakCount="1">
    <brk id="42" max="2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view="pageBreakPreview" zoomScaleNormal="100" zoomScaleSheetLayoutView="100" workbookViewId="0">
      <pane xSplit="1" topLeftCell="V1" activePane="topRight" state="frozen"/>
      <selection pane="topRight" activeCell="W14" sqref="W14"/>
    </sheetView>
  </sheetViews>
  <sheetFormatPr defaultRowHeight="15" outlineLevelCol="1" x14ac:dyDescent="0.25"/>
  <cols>
    <col min="1" max="1" width="48.42578125" style="793" customWidth="1"/>
    <col min="2" max="2" width="12.7109375" style="793" customWidth="1"/>
    <col min="3" max="6" width="13.5703125" style="793" customWidth="1"/>
    <col min="7" max="7" width="12.85546875" style="793" hidden="1" customWidth="1"/>
    <col min="8" max="8" width="12.7109375" style="793" hidden="1" customWidth="1"/>
    <col min="9" max="9" width="12.7109375" style="793" customWidth="1"/>
    <col min="10" max="19" width="12.7109375" style="793" hidden="1" customWidth="1" outlineLevel="1"/>
    <col min="20" max="20" width="13.140625" style="793" hidden="1" customWidth="1" outlineLevel="1"/>
    <col min="21" max="21" width="9" style="793" hidden="1" customWidth="1" outlineLevel="1"/>
    <col min="22" max="22" width="14.140625" style="793" customWidth="1" collapsed="1"/>
    <col min="23" max="25" width="12.7109375" style="793" customWidth="1"/>
    <col min="26" max="26" width="15.85546875" style="793" customWidth="1"/>
    <col min="27" max="16384" width="9.140625" style="793"/>
  </cols>
  <sheetData>
    <row r="1" spans="1:26" x14ac:dyDescent="0.25">
      <c r="A1" s="1432" t="s">
        <v>352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1432"/>
      <c r="M1" s="1432"/>
      <c r="N1" s="1432"/>
      <c r="O1" s="1432"/>
      <c r="P1" s="1432"/>
      <c r="Q1" s="1432"/>
      <c r="R1" s="1432"/>
      <c r="S1" s="1432"/>
      <c r="T1" s="1432"/>
      <c r="U1" s="1432"/>
      <c r="V1" s="1432"/>
      <c r="W1" s="1432"/>
      <c r="X1" s="1432"/>
      <c r="Y1" s="1432"/>
      <c r="Z1" s="1432"/>
    </row>
    <row r="2" spans="1:26" x14ac:dyDescent="0.25">
      <c r="A2" s="1432" t="s">
        <v>353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1432"/>
      <c r="Y2" s="1432"/>
      <c r="Z2" s="1432"/>
    </row>
    <row r="3" spans="1:26" x14ac:dyDescent="0.25">
      <c r="A3" s="1434" t="str">
        <f>'1020-TOURISM'!A3:Y3</f>
        <v>For the Period October 1-31, 2021</v>
      </c>
      <c r="B3" s="1434"/>
      <c r="C3" s="1434"/>
      <c r="D3" s="1434"/>
      <c r="E3" s="1434"/>
      <c r="F3" s="1434"/>
      <c r="G3" s="1434"/>
      <c r="H3" s="1434"/>
      <c r="I3" s="1434"/>
      <c r="J3" s="1434"/>
      <c r="K3" s="1434"/>
      <c r="L3" s="1434"/>
      <c r="M3" s="1434"/>
      <c r="N3" s="1434"/>
      <c r="O3" s="1434"/>
      <c r="P3" s="1434"/>
      <c r="Q3" s="1434"/>
      <c r="R3" s="1434"/>
      <c r="S3" s="1434"/>
      <c r="T3" s="1434"/>
      <c r="U3" s="1434"/>
      <c r="V3" s="1434"/>
      <c r="W3" s="1434"/>
      <c r="X3" s="1434"/>
      <c r="Y3" s="1434"/>
      <c r="Z3" s="1434"/>
    </row>
    <row r="4" spans="1:26" x14ac:dyDescent="0.25">
      <c r="A4" s="71" t="s">
        <v>347</v>
      </c>
      <c r="B4" s="71" t="s">
        <v>2</v>
      </c>
      <c r="C4" s="71" t="s">
        <v>133</v>
      </c>
      <c r="D4" s="71" t="s">
        <v>1</v>
      </c>
      <c r="E4" s="71" t="s">
        <v>316</v>
      </c>
      <c r="F4" s="71" t="s">
        <v>314</v>
      </c>
      <c r="G4" s="82" t="s">
        <v>135</v>
      </c>
      <c r="H4" s="82"/>
      <c r="I4" s="74" t="s">
        <v>346</v>
      </c>
      <c r="J4" s="72"/>
      <c r="K4" s="72"/>
      <c r="L4" s="72"/>
      <c r="M4" s="72"/>
      <c r="N4" s="83"/>
      <c r="O4" s="83"/>
      <c r="P4" s="83"/>
      <c r="Q4" s="83"/>
      <c r="R4" s="83"/>
      <c r="S4" s="83"/>
      <c r="T4" s="83"/>
      <c r="U4" s="83"/>
      <c r="V4" s="74" t="s">
        <v>316</v>
      </c>
      <c r="W4" s="74" t="s">
        <v>348</v>
      </c>
      <c r="X4" s="74" t="s">
        <v>1</v>
      </c>
      <c r="Y4" s="74" t="s">
        <v>131</v>
      </c>
      <c r="Z4" s="74" t="s">
        <v>131</v>
      </c>
    </row>
    <row r="5" spans="1:26" x14ac:dyDescent="0.25">
      <c r="A5" s="721"/>
      <c r="B5" s="721" t="s">
        <v>3</v>
      </c>
      <c r="C5" s="721" t="s">
        <v>134</v>
      </c>
      <c r="D5" s="721" t="s">
        <v>314</v>
      </c>
      <c r="E5" s="721" t="s">
        <v>314</v>
      </c>
      <c r="F5" s="721" t="s">
        <v>315</v>
      </c>
      <c r="G5" s="728" t="s">
        <v>134</v>
      </c>
      <c r="H5" s="728" t="s">
        <v>136</v>
      </c>
      <c r="I5" s="41" t="s">
        <v>315</v>
      </c>
      <c r="J5" s="722" t="s">
        <v>0</v>
      </c>
      <c r="K5" s="722" t="s">
        <v>120</v>
      </c>
      <c r="L5" s="722" t="s">
        <v>121</v>
      </c>
      <c r="M5" s="722" t="s">
        <v>122</v>
      </c>
      <c r="N5" s="722" t="s">
        <v>123</v>
      </c>
      <c r="O5" s="722" t="s">
        <v>124</v>
      </c>
      <c r="P5" s="722" t="s">
        <v>125</v>
      </c>
      <c r="Q5" s="722" t="s">
        <v>126</v>
      </c>
      <c r="R5" s="722" t="s">
        <v>127</v>
      </c>
      <c r="S5" s="722" t="s">
        <v>128</v>
      </c>
      <c r="T5" s="722" t="s">
        <v>129</v>
      </c>
      <c r="U5" s="722" t="s">
        <v>130</v>
      </c>
      <c r="V5" s="722" t="s">
        <v>317</v>
      </c>
      <c r="W5" s="722" t="s">
        <v>315</v>
      </c>
      <c r="X5" s="722" t="s">
        <v>317</v>
      </c>
      <c r="Y5" s="722" t="s">
        <v>314</v>
      </c>
      <c r="Z5" s="722" t="s">
        <v>132</v>
      </c>
    </row>
    <row r="6" spans="1:26" x14ac:dyDescent="0.25">
      <c r="A6" s="727" t="s">
        <v>1041</v>
      </c>
      <c r="B6" s="719"/>
      <c r="C6" s="719"/>
      <c r="D6" s="719"/>
      <c r="E6" s="719"/>
      <c r="F6" s="719"/>
      <c r="G6" s="719"/>
      <c r="H6" s="719"/>
      <c r="I6" s="719"/>
      <c r="J6" s="719"/>
      <c r="K6" s="719"/>
      <c r="L6" s="719"/>
      <c r="M6" s="719"/>
      <c r="N6" s="719"/>
      <c r="O6" s="719"/>
      <c r="P6" s="719"/>
      <c r="Q6" s="719"/>
      <c r="R6" s="719"/>
      <c r="S6" s="719"/>
      <c r="T6" s="719"/>
      <c r="U6" s="719"/>
      <c r="V6" s="719"/>
      <c r="W6" s="719"/>
      <c r="X6" s="719"/>
      <c r="Y6" s="719"/>
      <c r="Z6" s="719"/>
    </row>
    <row r="7" spans="1:26" x14ac:dyDescent="0.25">
      <c r="A7" s="110" t="s">
        <v>231</v>
      </c>
      <c r="B7" s="150"/>
      <c r="C7" s="719"/>
      <c r="D7" s="719"/>
      <c r="E7" s="719"/>
      <c r="F7" s="719"/>
      <c r="G7" s="719"/>
      <c r="H7" s="719"/>
      <c r="I7" s="719"/>
      <c r="J7" s="719"/>
      <c r="K7" s="719"/>
      <c r="L7" s="719"/>
      <c r="M7" s="719"/>
      <c r="N7" s="719"/>
      <c r="O7" s="719"/>
      <c r="P7" s="719"/>
      <c r="Q7" s="719"/>
      <c r="R7" s="719"/>
      <c r="S7" s="719"/>
      <c r="T7" s="719"/>
      <c r="U7" s="719"/>
      <c r="V7" s="719"/>
      <c r="W7" s="719"/>
      <c r="X7" s="725"/>
      <c r="Y7" s="718"/>
      <c r="Z7" s="719"/>
    </row>
    <row r="8" spans="1:26" x14ac:dyDescent="0.25">
      <c r="A8" s="273" t="s">
        <v>139</v>
      </c>
      <c r="B8" s="410" t="s">
        <v>43</v>
      </c>
      <c r="C8" s="414">
        <v>21000</v>
      </c>
      <c r="D8" s="720">
        <f>C8</f>
        <v>21000</v>
      </c>
      <c r="E8" s="720">
        <f>D8/12*9</f>
        <v>15750</v>
      </c>
      <c r="F8" s="720">
        <f>D8/12</f>
        <v>1750</v>
      </c>
      <c r="G8" s="719"/>
      <c r="H8" s="719"/>
      <c r="I8" s="718">
        <f>E8+F8</f>
        <v>17500</v>
      </c>
      <c r="J8" s="673"/>
      <c r="K8" s="673"/>
      <c r="L8" s="673">
        <v>1240</v>
      </c>
      <c r="M8" s="673"/>
      <c r="N8" s="673">
        <v>1240</v>
      </c>
      <c r="O8" s="673">
        <v>0</v>
      </c>
      <c r="P8" s="673">
        <v>9712</v>
      </c>
      <c r="Q8" s="673">
        <v>1240</v>
      </c>
      <c r="R8" s="673"/>
      <c r="S8" s="673">
        <v>1240</v>
      </c>
      <c r="T8" s="673"/>
      <c r="U8" s="673"/>
      <c r="V8" s="673">
        <f>J8+K8+L8+M8+N8+O8+P8+Q8+R8</f>
        <v>13432</v>
      </c>
      <c r="W8" s="673">
        <f>S8</f>
        <v>1240</v>
      </c>
      <c r="X8" s="718">
        <f>V8+W8</f>
        <v>14672</v>
      </c>
      <c r="Y8" s="718">
        <f>I8-X8</f>
        <v>2828</v>
      </c>
      <c r="Z8" s="89">
        <f>D8-X8</f>
        <v>6328</v>
      </c>
    </row>
    <row r="9" spans="1:26" x14ac:dyDescent="0.25">
      <c r="A9" s="273" t="s">
        <v>233</v>
      </c>
      <c r="B9" s="410" t="s">
        <v>140</v>
      </c>
      <c r="C9" s="414">
        <v>16562</v>
      </c>
      <c r="D9" s="720">
        <f t="shared" ref="D9:D14" si="0">C9</f>
        <v>16562</v>
      </c>
      <c r="E9" s="720">
        <f t="shared" ref="E9:E14" si="1">D9/12*9</f>
        <v>12421.5</v>
      </c>
      <c r="F9" s="720">
        <f t="shared" ref="F9:F14" si="2">D9/12</f>
        <v>1380.1666666666667</v>
      </c>
      <c r="G9" s="719"/>
      <c r="H9" s="719"/>
      <c r="I9" s="718">
        <f t="shared" ref="I9:I14" si="3">E9+F9</f>
        <v>13801.666666666666</v>
      </c>
      <c r="J9" s="673"/>
      <c r="K9" s="673"/>
      <c r="L9" s="673"/>
      <c r="M9" s="673">
        <v>6226</v>
      </c>
      <c r="N9" s="673"/>
      <c r="O9" s="673"/>
      <c r="P9" s="673"/>
      <c r="Q9" s="673">
        <v>0</v>
      </c>
      <c r="R9" s="673"/>
      <c r="S9" s="673"/>
      <c r="T9" s="673"/>
      <c r="U9" s="673"/>
      <c r="V9" s="673">
        <f t="shared" ref="V9:V14" si="4">J9+K9+L9+M9+N9+O9+P9+Q9+R9</f>
        <v>6226</v>
      </c>
      <c r="W9" s="673">
        <f t="shared" ref="W9:W14" si="5">S9</f>
        <v>0</v>
      </c>
      <c r="X9" s="718">
        <f t="shared" ref="X9:X10" si="6">V9+W9</f>
        <v>6226</v>
      </c>
      <c r="Y9" s="718">
        <f t="shared" ref="Y9" si="7">I9-X9</f>
        <v>7575.6666666666661</v>
      </c>
      <c r="Z9" s="89">
        <f t="shared" ref="Z9:Z10" si="8">D9-X9</f>
        <v>10336</v>
      </c>
    </row>
    <row r="10" spans="1:26" x14ac:dyDescent="0.25">
      <c r="A10" s="273" t="s">
        <v>50</v>
      </c>
      <c r="B10" s="410" t="s">
        <v>51</v>
      </c>
      <c r="C10" s="414">
        <v>50000</v>
      </c>
      <c r="D10" s="720">
        <f t="shared" si="0"/>
        <v>50000</v>
      </c>
      <c r="E10" s="720">
        <f t="shared" si="1"/>
        <v>37500</v>
      </c>
      <c r="F10" s="720">
        <f t="shared" si="2"/>
        <v>4166.666666666667</v>
      </c>
      <c r="G10" s="719"/>
      <c r="H10" s="719"/>
      <c r="I10" s="718">
        <f t="shared" si="3"/>
        <v>41666.666666666664</v>
      </c>
      <c r="J10" s="673"/>
      <c r="K10" s="673"/>
      <c r="L10" s="673">
        <v>9194</v>
      </c>
      <c r="M10" s="673"/>
      <c r="N10" s="673"/>
      <c r="O10" s="673">
        <v>7168</v>
      </c>
      <c r="P10" s="673"/>
      <c r="Q10" s="673">
        <v>855</v>
      </c>
      <c r="R10" s="673">
        <v>8676</v>
      </c>
      <c r="S10" s="673"/>
      <c r="T10" s="673"/>
      <c r="U10" s="673"/>
      <c r="V10" s="673">
        <f t="shared" si="4"/>
        <v>25893</v>
      </c>
      <c r="W10" s="673">
        <f t="shared" si="5"/>
        <v>0</v>
      </c>
      <c r="X10" s="718">
        <f t="shared" si="6"/>
        <v>25893</v>
      </c>
      <c r="Y10" s="718">
        <f>I10-X10</f>
        <v>15773.666666666664</v>
      </c>
      <c r="Z10" s="89">
        <f t="shared" si="8"/>
        <v>24107</v>
      </c>
    </row>
    <row r="11" spans="1:26" x14ac:dyDescent="0.25">
      <c r="A11" s="273" t="s">
        <v>61</v>
      </c>
      <c r="B11" s="410" t="s">
        <v>62</v>
      </c>
      <c r="C11" s="414">
        <v>15820</v>
      </c>
      <c r="D11" s="720">
        <f>C11</f>
        <v>15820</v>
      </c>
      <c r="E11" s="720">
        <f t="shared" si="1"/>
        <v>11865</v>
      </c>
      <c r="F11" s="720">
        <f>D11/12</f>
        <v>1318.3333333333333</v>
      </c>
      <c r="G11" s="719"/>
      <c r="H11" s="719"/>
      <c r="I11" s="718">
        <f>E11+F11</f>
        <v>13183.333333333334</v>
      </c>
      <c r="J11" s="673"/>
      <c r="K11" s="673">
        <v>2598</v>
      </c>
      <c r="L11" s="673">
        <v>1299</v>
      </c>
      <c r="M11" s="673">
        <v>1299</v>
      </c>
      <c r="N11" s="673">
        <v>1299</v>
      </c>
      <c r="O11" s="673">
        <v>1299</v>
      </c>
      <c r="P11" s="673">
        <v>1299</v>
      </c>
      <c r="Q11" s="673">
        <v>1299</v>
      </c>
      <c r="R11" s="673">
        <v>1299</v>
      </c>
      <c r="S11" s="673">
        <v>1299</v>
      </c>
      <c r="T11" s="673"/>
      <c r="U11" s="673"/>
      <c r="V11" s="673">
        <f t="shared" si="4"/>
        <v>11691</v>
      </c>
      <c r="W11" s="673">
        <f t="shared" si="5"/>
        <v>1299</v>
      </c>
      <c r="X11" s="718">
        <f t="shared" ref="X11:X14" si="9">V11+W11</f>
        <v>12990</v>
      </c>
      <c r="Y11" s="718">
        <f t="shared" ref="Y11:Y14" si="10">I11-X11</f>
        <v>193.33333333333394</v>
      </c>
      <c r="Z11" s="874">
        <f t="shared" ref="Z11:Z14" si="11">D11-X11</f>
        <v>2830</v>
      </c>
    </row>
    <row r="12" spans="1:26" x14ac:dyDescent="0.25">
      <c r="A12" s="273" t="s">
        <v>69</v>
      </c>
      <c r="B12" s="410" t="s">
        <v>70</v>
      </c>
      <c r="C12" s="720">
        <v>279000</v>
      </c>
      <c r="D12" s="720">
        <f t="shared" si="0"/>
        <v>279000</v>
      </c>
      <c r="E12" s="720">
        <f t="shared" si="1"/>
        <v>209250</v>
      </c>
      <c r="F12" s="720">
        <f t="shared" si="2"/>
        <v>23250</v>
      </c>
      <c r="G12" s="719"/>
      <c r="H12" s="719"/>
      <c r="I12" s="718">
        <f t="shared" si="3"/>
        <v>232500</v>
      </c>
      <c r="J12" s="673">
        <v>14265.96</v>
      </c>
      <c r="K12" s="673">
        <v>22118.1</v>
      </c>
      <c r="L12" s="673">
        <v>21782.36</v>
      </c>
      <c r="M12" s="673">
        <v>22485.8</v>
      </c>
      <c r="N12" s="673">
        <v>22500</v>
      </c>
      <c r="O12" s="673">
        <v>25560</v>
      </c>
      <c r="P12" s="673">
        <v>16320.17</v>
      </c>
      <c r="Q12" s="673">
        <v>19770</v>
      </c>
      <c r="R12" s="673">
        <v>24000</v>
      </c>
      <c r="S12" s="673">
        <v>21600</v>
      </c>
      <c r="T12" s="673"/>
      <c r="U12" s="673"/>
      <c r="V12" s="673">
        <f t="shared" si="4"/>
        <v>188802.39</v>
      </c>
      <c r="W12" s="673">
        <f t="shared" si="5"/>
        <v>21600</v>
      </c>
      <c r="X12" s="718">
        <f t="shared" si="9"/>
        <v>210402.39</v>
      </c>
      <c r="Y12" s="718">
        <f t="shared" si="10"/>
        <v>22097.609999999986</v>
      </c>
      <c r="Z12" s="874">
        <f t="shared" si="11"/>
        <v>68597.609999999986</v>
      </c>
    </row>
    <row r="13" spans="1:26" x14ac:dyDescent="0.25">
      <c r="A13" s="273" t="s">
        <v>606</v>
      </c>
      <c r="B13" s="412" t="s">
        <v>76</v>
      </c>
      <c r="C13" s="414"/>
      <c r="D13" s="720">
        <f t="shared" si="0"/>
        <v>0</v>
      </c>
      <c r="E13" s="720">
        <f t="shared" si="1"/>
        <v>0</v>
      </c>
      <c r="F13" s="720">
        <f t="shared" si="2"/>
        <v>0</v>
      </c>
      <c r="G13" s="719"/>
      <c r="H13" s="719"/>
      <c r="I13" s="718">
        <f t="shared" si="3"/>
        <v>0</v>
      </c>
      <c r="J13" s="719"/>
      <c r="K13" s="719"/>
      <c r="L13" s="719"/>
      <c r="M13" s="719"/>
      <c r="N13" s="719"/>
      <c r="O13" s="719"/>
      <c r="P13" s="719"/>
      <c r="Q13" s="719"/>
      <c r="R13" s="719"/>
      <c r="S13" s="719"/>
      <c r="T13" s="719"/>
      <c r="U13" s="719"/>
      <c r="V13" s="673">
        <f t="shared" si="4"/>
        <v>0</v>
      </c>
      <c r="W13" s="673">
        <f t="shared" si="5"/>
        <v>0</v>
      </c>
      <c r="X13" s="718">
        <f t="shared" si="9"/>
        <v>0</v>
      </c>
      <c r="Y13" s="718">
        <f t="shared" si="10"/>
        <v>0</v>
      </c>
      <c r="Z13" s="874">
        <f t="shared" si="11"/>
        <v>0</v>
      </c>
    </row>
    <row r="14" spans="1:26" x14ac:dyDescent="0.25">
      <c r="A14" s="792" t="s">
        <v>607</v>
      </c>
      <c r="B14" s="46"/>
      <c r="C14" s="414">
        <v>5000</v>
      </c>
      <c r="D14" s="720">
        <f t="shared" si="0"/>
        <v>5000</v>
      </c>
      <c r="E14" s="720">
        <f t="shared" si="1"/>
        <v>3750</v>
      </c>
      <c r="F14" s="720">
        <f t="shared" si="2"/>
        <v>416.66666666666669</v>
      </c>
      <c r="G14" s="719"/>
      <c r="H14" s="719"/>
      <c r="I14" s="718">
        <f t="shared" si="3"/>
        <v>4166.666666666667</v>
      </c>
      <c r="J14" s="719"/>
      <c r="K14" s="719"/>
      <c r="L14" s="719"/>
      <c r="M14" s="719"/>
      <c r="N14" s="719"/>
      <c r="O14" s="719"/>
      <c r="P14" s="719"/>
      <c r="Q14" s="719"/>
      <c r="R14" s="719"/>
      <c r="S14" s="719"/>
      <c r="T14" s="719"/>
      <c r="U14" s="719"/>
      <c r="V14" s="673">
        <f t="shared" si="4"/>
        <v>0</v>
      </c>
      <c r="W14" s="673">
        <f t="shared" si="5"/>
        <v>0</v>
      </c>
      <c r="X14" s="718">
        <f t="shared" si="9"/>
        <v>0</v>
      </c>
      <c r="Y14" s="718">
        <f t="shared" si="10"/>
        <v>4166.666666666667</v>
      </c>
      <c r="Z14" s="874">
        <f t="shared" si="11"/>
        <v>5000</v>
      </c>
    </row>
    <row r="15" spans="1:26" s="712" customFormat="1" x14ac:dyDescent="0.25">
      <c r="A15" s="110" t="s">
        <v>108</v>
      </c>
      <c r="B15" s="114"/>
      <c r="C15" s="726">
        <f t="shared" ref="C15:Z15" si="12">SUM(C8:C14)</f>
        <v>387382</v>
      </c>
      <c r="D15" s="726">
        <f t="shared" si="12"/>
        <v>387382</v>
      </c>
      <c r="E15" s="726">
        <f t="shared" si="12"/>
        <v>290536.5</v>
      </c>
      <c r="F15" s="726">
        <f t="shared" si="12"/>
        <v>32281.833333333336</v>
      </c>
      <c r="G15" s="726">
        <f t="shared" si="12"/>
        <v>0</v>
      </c>
      <c r="H15" s="726">
        <f t="shared" si="12"/>
        <v>0</v>
      </c>
      <c r="I15" s="726">
        <f t="shared" si="12"/>
        <v>322818.33333333331</v>
      </c>
      <c r="J15" s="726">
        <f t="shared" si="12"/>
        <v>14265.96</v>
      </c>
      <c r="K15" s="726">
        <f t="shared" si="12"/>
        <v>24716.1</v>
      </c>
      <c r="L15" s="726">
        <f t="shared" si="12"/>
        <v>33515.360000000001</v>
      </c>
      <c r="M15" s="726">
        <f t="shared" si="12"/>
        <v>30010.799999999999</v>
      </c>
      <c r="N15" s="726">
        <f t="shared" si="12"/>
        <v>25039</v>
      </c>
      <c r="O15" s="726">
        <f t="shared" si="12"/>
        <v>34027</v>
      </c>
      <c r="P15" s="726">
        <f t="shared" si="12"/>
        <v>27331.17</v>
      </c>
      <c r="Q15" s="726">
        <f t="shared" si="12"/>
        <v>23164</v>
      </c>
      <c r="R15" s="726">
        <f t="shared" si="12"/>
        <v>33975</v>
      </c>
      <c r="S15" s="726">
        <f t="shared" si="12"/>
        <v>24139</v>
      </c>
      <c r="T15" s="726">
        <f t="shared" si="12"/>
        <v>0</v>
      </c>
      <c r="U15" s="726">
        <f t="shared" si="12"/>
        <v>0</v>
      </c>
      <c r="V15" s="726">
        <f t="shared" si="12"/>
        <v>246044.39</v>
      </c>
      <c r="W15" s="726">
        <f t="shared" si="12"/>
        <v>24139</v>
      </c>
      <c r="X15" s="726">
        <f t="shared" si="12"/>
        <v>270183.39</v>
      </c>
      <c r="Y15" s="726">
        <f t="shared" si="12"/>
        <v>52634.943333333315</v>
      </c>
      <c r="Z15" s="726">
        <f t="shared" si="12"/>
        <v>117198.60999999999</v>
      </c>
    </row>
    <row r="16" spans="1:26" x14ac:dyDescent="0.25">
      <c r="A16" s="110" t="s">
        <v>211</v>
      </c>
      <c r="B16" s="114"/>
      <c r="C16" s="726"/>
      <c r="D16" s="726"/>
      <c r="E16" s="726"/>
      <c r="F16" s="726"/>
      <c r="G16" s="719"/>
      <c r="H16" s="719"/>
      <c r="I16" s="718"/>
      <c r="J16" s="719"/>
      <c r="K16" s="719"/>
      <c r="L16" s="719"/>
      <c r="M16" s="719"/>
      <c r="N16" s="719"/>
      <c r="O16" s="719"/>
      <c r="P16" s="719"/>
      <c r="Q16" s="719"/>
      <c r="R16" s="719"/>
      <c r="S16" s="719"/>
      <c r="T16" s="719"/>
      <c r="U16" s="719"/>
      <c r="V16" s="719"/>
      <c r="W16" s="719"/>
      <c r="X16" s="725"/>
      <c r="Y16" s="718"/>
      <c r="Z16" s="719"/>
    </row>
    <row r="17" spans="1:26" x14ac:dyDescent="0.25">
      <c r="A17" s="110" t="s">
        <v>319</v>
      </c>
      <c r="B17" s="46"/>
      <c r="C17" s="726"/>
      <c r="D17" s="726"/>
      <c r="E17" s="726"/>
      <c r="F17" s="726"/>
      <c r="G17" s="719"/>
      <c r="H17" s="719"/>
      <c r="I17" s="718"/>
      <c r="J17" s="719"/>
      <c r="K17" s="719"/>
      <c r="L17" s="719"/>
      <c r="M17" s="719"/>
      <c r="N17" s="719"/>
      <c r="O17" s="719"/>
      <c r="P17" s="719"/>
      <c r="Q17" s="719"/>
      <c r="R17" s="719"/>
      <c r="S17" s="719"/>
      <c r="T17" s="719"/>
      <c r="U17" s="719"/>
      <c r="V17" s="719"/>
      <c r="W17" s="719"/>
      <c r="X17" s="725"/>
      <c r="Y17" s="80"/>
      <c r="Z17" s="719"/>
    </row>
    <row r="18" spans="1:26" x14ac:dyDescent="0.25">
      <c r="A18" s="432" t="s">
        <v>607</v>
      </c>
      <c r="B18" s="46"/>
      <c r="C18" s="720"/>
      <c r="D18" s="720">
        <f t="shared" ref="D18:D19" si="13">C18</f>
        <v>0</v>
      </c>
      <c r="E18" s="720"/>
      <c r="F18" s="720">
        <f t="shared" ref="F18:F19" si="14">D18</f>
        <v>0</v>
      </c>
      <c r="G18" s="719"/>
      <c r="H18" s="719"/>
      <c r="I18" s="718">
        <f t="shared" ref="I18:I19" si="15">D18</f>
        <v>0</v>
      </c>
      <c r="J18" s="719"/>
      <c r="K18" s="719"/>
      <c r="L18" s="719"/>
      <c r="M18" s="719"/>
      <c r="N18" s="719"/>
      <c r="O18" s="719"/>
      <c r="P18" s="719"/>
      <c r="Q18" s="719"/>
      <c r="R18" s="719"/>
      <c r="S18" s="719"/>
      <c r="T18" s="719"/>
      <c r="U18" s="719"/>
      <c r="V18" s="673">
        <f t="shared" ref="V18:V19" si="16">J18+K18+L18+M18+N18+O18+P18+Q18+R18</f>
        <v>0</v>
      </c>
      <c r="W18" s="673">
        <f t="shared" ref="W18:W19" si="17">T18</f>
        <v>0</v>
      </c>
      <c r="X18" s="725"/>
      <c r="Y18" s="718">
        <f t="shared" ref="Y18:Y19" si="18">I18-X18</f>
        <v>0</v>
      </c>
      <c r="Z18" s="89">
        <f t="shared" ref="Z18:Z19" si="19">D18-X18</f>
        <v>0</v>
      </c>
    </row>
    <row r="19" spans="1:26" x14ac:dyDescent="0.25">
      <c r="A19" s="281" t="s">
        <v>1042</v>
      </c>
      <c r="B19" s="46"/>
      <c r="C19" s="720">
        <v>20000</v>
      </c>
      <c r="D19" s="720">
        <f t="shared" si="13"/>
        <v>20000</v>
      </c>
      <c r="E19" s="720">
        <f>D19</f>
        <v>20000</v>
      </c>
      <c r="F19" s="720">
        <f t="shared" si="14"/>
        <v>20000</v>
      </c>
      <c r="G19" s="719"/>
      <c r="H19" s="719"/>
      <c r="I19" s="718">
        <f t="shared" si="15"/>
        <v>20000</v>
      </c>
      <c r="J19" s="719"/>
      <c r="K19" s="719"/>
      <c r="L19" s="719"/>
      <c r="M19" s="719"/>
      <c r="N19" s="719"/>
      <c r="O19" s="719"/>
      <c r="P19" s="719"/>
      <c r="Q19" s="719"/>
      <c r="R19" s="719"/>
      <c r="S19" s="719"/>
      <c r="T19" s="719"/>
      <c r="U19" s="719"/>
      <c r="V19" s="673">
        <f t="shared" si="16"/>
        <v>0</v>
      </c>
      <c r="W19" s="673">
        <f t="shared" si="17"/>
        <v>0</v>
      </c>
      <c r="X19" s="725"/>
      <c r="Y19" s="718">
        <f t="shared" si="18"/>
        <v>20000</v>
      </c>
      <c r="Z19" s="89">
        <f t="shared" si="19"/>
        <v>20000</v>
      </c>
    </row>
    <row r="20" spans="1:26" s="712" customFormat="1" x14ac:dyDescent="0.25">
      <c r="A20" s="110" t="s">
        <v>332</v>
      </c>
      <c r="B20" s="50" t="s">
        <v>93</v>
      </c>
      <c r="C20" s="726">
        <f>SUM(C18:C19)</f>
        <v>20000</v>
      </c>
      <c r="D20" s="726">
        <f t="shared" ref="D20:Z20" si="20">SUM(D18:D19)</f>
        <v>20000</v>
      </c>
      <c r="E20" s="726">
        <f t="shared" si="20"/>
        <v>20000</v>
      </c>
      <c r="F20" s="726">
        <f t="shared" si="20"/>
        <v>20000</v>
      </c>
      <c r="G20" s="726">
        <f t="shared" si="20"/>
        <v>0</v>
      </c>
      <c r="H20" s="726">
        <f t="shared" si="20"/>
        <v>0</v>
      </c>
      <c r="I20" s="726">
        <f t="shared" si="20"/>
        <v>20000</v>
      </c>
      <c r="J20" s="726">
        <f t="shared" si="20"/>
        <v>0</v>
      </c>
      <c r="K20" s="726">
        <f t="shared" si="20"/>
        <v>0</v>
      </c>
      <c r="L20" s="726">
        <f t="shared" si="20"/>
        <v>0</v>
      </c>
      <c r="M20" s="726">
        <f t="shared" si="20"/>
        <v>0</v>
      </c>
      <c r="N20" s="726">
        <f t="shared" si="20"/>
        <v>0</v>
      </c>
      <c r="O20" s="726">
        <f t="shared" si="20"/>
        <v>0</v>
      </c>
      <c r="P20" s="726">
        <f t="shared" si="20"/>
        <v>0</v>
      </c>
      <c r="Q20" s="726">
        <f t="shared" si="20"/>
        <v>0</v>
      </c>
      <c r="R20" s="726">
        <f t="shared" si="20"/>
        <v>0</v>
      </c>
      <c r="S20" s="726">
        <f t="shared" si="20"/>
        <v>0</v>
      </c>
      <c r="T20" s="726">
        <f t="shared" si="20"/>
        <v>0</v>
      </c>
      <c r="U20" s="726">
        <f t="shared" si="20"/>
        <v>0</v>
      </c>
      <c r="V20" s="673">
        <f t="shared" ref="V20" si="21">J20+K20+L20+M20+N20+O20+P20+Q20</f>
        <v>0</v>
      </c>
      <c r="W20" s="673">
        <f t="shared" ref="W20" si="22">R20</f>
        <v>0</v>
      </c>
      <c r="X20" s="726">
        <f t="shared" si="20"/>
        <v>0</v>
      </c>
      <c r="Y20" s="726">
        <f t="shared" si="20"/>
        <v>20000</v>
      </c>
      <c r="Z20" s="726">
        <f t="shared" si="20"/>
        <v>20000</v>
      </c>
    </row>
    <row r="21" spans="1:26" s="712" customFormat="1" x14ac:dyDescent="0.25">
      <c r="A21" s="110" t="s">
        <v>119</v>
      </c>
      <c r="B21" s="171"/>
      <c r="C21" s="726">
        <f>C20</f>
        <v>20000</v>
      </c>
      <c r="D21" s="726">
        <f t="shared" ref="D21:Z21" si="23">D20</f>
        <v>20000</v>
      </c>
      <c r="E21" s="726">
        <f t="shared" si="23"/>
        <v>20000</v>
      </c>
      <c r="F21" s="726">
        <f t="shared" si="23"/>
        <v>20000</v>
      </c>
      <c r="G21" s="726">
        <f t="shared" si="23"/>
        <v>0</v>
      </c>
      <c r="H21" s="726">
        <f t="shared" si="23"/>
        <v>0</v>
      </c>
      <c r="I21" s="726">
        <f t="shared" si="23"/>
        <v>20000</v>
      </c>
      <c r="J21" s="726">
        <f t="shared" si="23"/>
        <v>0</v>
      </c>
      <c r="K21" s="726">
        <f t="shared" si="23"/>
        <v>0</v>
      </c>
      <c r="L21" s="726">
        <f t="shared" si="23"/>
        <v>0</v>
      </c>
      <c r="M21" s="726">
        <f t="shared" si="23"/>
        <v>0</v>
      </c>
      <c r="N21" s="726">
        <f t="shared" si="23"/>
        <v>0</v>
      </c>
      <c r="O21" s="726">
        <f t="shared" si="23"/>
        <v>0</v>
      </c>
      <c r="P21" s="726">
        <f t="shared" si="23"/>
        <v>0</v>
      </c>
      <c r="Q21" s="726">
        <f t="shared" si="23"/>
        <v>0</v>
      </c>
      <c r="R21" s="726">
        <f t="shared" si="23"/>
        <v>0</v>
      </c>
      <c r="S21" s="726">
        <f t="shared" si="23"/>
        <v>0</v>
      </c>
      <c r="T21" s="726">
        <f t="shared" si="23"/>
        <v>0</v>
      </c>
      <c r="U21" s="726">
        <f t="shared" si="23"/>
        <v>0</v>
      </c>
      <c r="V21" s="726">
        <f t="shared" si="23"/>
        <v>0</v>
      </c>
      <c r="W21" s="726">
        <f t="shared" si="23"/>
        <v>0</v>
      </c>
      <c r="X21" s="726">
        <f t="shared" si="23"/>
        <v>0</v>
      </c>
      <c r="Y21" s="726">
        <f t="shared" si="23"/>
        <v>20000</v>
      </c>
      <c r="Z21" s="726">
        <f t="shared" si="23"/>
        <v>20000</v>
      </c>
    </row>
    <row r="22" spans="1:26" s="712" customFormat="1" ht="15.75" thickBot="1" x14ac:dyDescent="0.3">
      <c r="A22" s="156" t="s">
        <v>160</v>
      </c>
      <c r="B22" s="157"/>
      <c r="C22" s="324">
        <f>C15+C21</f>
        <v>407382</v>
      </c>
      <c r="D22" s="324">
        <f t="shared" ref="D22:Z22" si="24">D15+D21</f>
        <v>407382</v>
      </c>
      <c r="E22" s="324">
        <f t="shared" si="24"/>
        <v>310536.5</v>
      </c>
      <c r="F22" s="324">
        <f t="shared" si="24"/>
        <v>52281.833333333336</v>
      </c>
      <c r="G22" s="324">
        <f t="shared" si="24"/>
        <v>0</v>
      </c>
      <c r="H22" s="324">
        <f t="shared" si="24"/>
        <v>0</v>
      </c>
      <c r="I22" s="324">
        <f t="shared" si="24"/>
        <v>342818.33333333331</v>
      </c>
      <c r="J22" s="324">
        <f t="shared" si="24"/>
        <v>14265.96</v>
      </c>
      <c r="K22" s="324">
        <f t="shared" si="24"/>
        <v>24716.1</v>
      </c>
      <c r="L22" s="324">
        <f t="shared" si="24"/>
        <v>33515.360000000001</v>
      </c>
      <c r="M22" s="324">
        <f t="shared" si="24"/>
        <v>30010.799999999999</v>
      </c>
      <c r="N22" s="324">
        <f t="shared" si="24"/>
        <v>25039</v>
      </c>
      <c r="O22" s="324">
        <f t="shared" si="24"/>
        <v>34027</v>
      </c>
      <c r="P22" s="324">
        <f t="shared" si="24"/>
        <v>27331.17</v>
      </c>
      <c r="Q22" s="324">
        <f t="shared" si="24"/>
        <v>23164</v>
      </c>
      <c r="R22" s="324">
        <f t="shared" si="24"/>
        <v>33975</v>
      </c>
      <c r="S22" s="324">
        <f t="shared" si="24"/>
        <v>24139</v>
      </c>
      <c r="T22" s="324">
        <f t="shared" si="24"/>
        <v>0</v>
      </c>
      <c r="U22" s="324">
        <f t="shared" si="24"/>
        <v>0</v>
      </c>
      <c r="V22" s="324">
        <f t="shared" si="24"/>
        <v>246044.39</v>
      </c>
      <c r="W22" s="324">
        <f t="shared" si="24"/>
        <v>24139</v>
      </c>
      <c r="X22" s="324">
        <f t="shared" si="24"/>
        <v>270183.39</v>
      </c>
      <c r="Y22" s="324">
        <f t="shared" si="24"/>
        <v>72634.943333333315</v>
      </c>
      <c r="Z22" s="324">
        <f t="shared" si="24"/>
        <v>137198.60999999999</v>
      </c>
    </row>
    <row r="23" spans="1:26" ht="15.75" thickTop="1" x14ac:dyDescent="0.25"/>
    <row r="24" spans="1:26" x14ac:dyDescent="0.25">
      <c r="A24" s="793" t="s">
        <v>354</v>
      </c>
      <c r="B24" s="30"/>
      <c r="C24" s="35"/>
      <c r="D24" s="35"/>
      <c r="E24" s="35"/>
      <c r="F24" s="35"/>
      <c r="Y24" s="743" t="s">
        <v>357</v>
      </c>
    </row>
    <row r="27" spans="1:26" x14ac:dyDescent="0.25">
      <c r="B27" s="713"/>
      <c r="C27" s="36"/>
      <c r="D27" s="36"/>
      <c r="E27" s="36"/>
      <c r="F27" s="36"/>
    </row>
    <row r="28" spans="1:26" x14ac:dyDescent="0.25">
      <c r="A28" s="742" t="s">
        <v>355</v>
      </c>
      <c r="B28" s="710"/>
      <c r="C28" s="31"/>
      <c r="D28" s="31"/>
      <c r="E28" s="31"/>
      <c r="F28" s="31"/>
      <c r="Y28" s="744" t="s">
        <v>358</v>
      </c>
    </row>
    <row r="29" spans="1:26" x14ac:dyDescent="0.25">
      <c r="A29" s="743" t="s">
        <v>356</v>
      </c>
      <c r="Y29" s="743" t="s">
        <v>359</v>
      </c>
    </row>
  </sheetData>
  <mergeCells count="3">
    <mergeCell ref="A3:Z3"/>
    <mergeCell ref="A2:Z2"/>
    <mergeCell ref="A1:Z1"/>
  </mergeCells>
  <printOptions horizontalCentered="1"/>
  <pageMargins left="1" right="0.2" top="1" bottom="0.25" header="0.3" footer="0.3"/>
  <pageSetup paperSize="5" scale="8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62"/>
  <sheetViews>
    <sheetView view="pageBreakPreview" zoomScale="96" zoomScaleNormal="100" zoomScaleSheetLayoutView="96" workbookViewId="0">
      <pane xSplit="1" ySplit="3" topLeftCell="W13" activePane="bottomRight" state="frozen"/>
      <selection pane="topRight" activeCell="B1" sqref="B1"/>
      <selection pane="bottomLeft" activeCell="A4" sqref="A4"/>
      <selection pane="bottomRight" activeCell="AB15" sqref="AB15"/>
    </sheetView>
  </sheetViews>
  <sheetFormatPr defaultRowHeight="15" outlineLevelCol="1" x14ac:dyDescent="0.25"/>
  <cols>
    <col min="1" max="1" width="45.140625" customWidth="1"/>
    <col min="2" max="3" width="12.7109375" customWidth="1"/>
    <col min="4" max="5" width="12.7109375" style="951" customWidth="1"/>
    <col min="6" max="6" width="14.5703125" style="951" customWidth="1"/>
    <col min="7" max="9" width="12.7109375" customWidth="1"/>
    <col min="10" max="10" width="15.28515625" customWidth="1"/>
    <col min="11" max="22" width="12.7109375" hidden="1" customWidth="1" outlineLevel="1"/>
    <col min="23" max="23" width="12.7109375" customWidth="1" collapsed="1"/>
    <col min="24" max="24" width="11.5703125" customWidth="1"/>
    <col min="25" max="25" width="12.7109375" customWidth="1"/>
    <col min="26" max="26" width="10.7109375" customWidth="1"/>
    <col min="27" max="27" width="13.140625" customWidth="1"/>
    <col min="28" max="91" width="9.140625" style="160"/>
  </cols>
  <sheetData>
    <row r="1" spans="1:91" x14ac:dyDescent="0.25">
      <c r="A1" s="1432" t="s">
        <v>352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1432"/>
      <c r="M1" s="1432"/>
      <c r="N1" s="1432"/>
      <c r="O1" s="1432"/>
      <c r="P1" s="1432"/>
      <c r="Q1" s="1432"/>
      <c r="R1" s="1432"/>
      <c r="S1" s="1432"/>
      <c r="T1" s="1432"/>
      <c r="U1" s="1432"/>
      <c r="V1" s="1432"/>
      <c r="W1" s="1432"/>
      <c r="X1" s="1432"/>
      <c r="Y1" s="1432"/>
      <c r="Z1" s="1432"/>
      <c r="AA1" s="1432"/>
    </row>
    <row r="2" spans="1:91" x14ac:dyDescent="0.25">
      <c r="A2" s="1432" t="s">
        <v>353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1432"/>
      <c r="Y2" s="1432"/>
      <c r="Z2" s="1432"/>
      <c r="AA2" s="1432"/>
    </row>
    <row r="3" spans="1:91" x14ac:dyDescent="0.25">
      <c r="A3" s="1434" t="str">
        <f>'1021-GIST'!A3:Y3</f>
        <v>For the Period October 1-31, 2021</v>
      </c>
      <c r="B3" s="1434"/>
      <c r="C3" s="1434"/>
      <c r="D3" s="1434"/>
      <c r="E3" s="1434"/>
      <c r="F3" s="1434"/>
      <c r="G3" s="1434"/>
      <c r="H3" s="1434"/>
      <c r="I3" s="1434"/>
      <c r="J3" s="1434"/>
      <c r="K3" s="1434"/>
      <c r="L3" s="1434"/>
      <c r="M3" s="1434"/>
      <c r="N3" s="1434"/>
      <c r="O3" s="1434"/>
      <c r="P3" s="1434"/>
      <c r="Q3" s="1434"/>
      <c r="R3" s="1434"/>
      <c r="S3" s="1434"/>
      <c r="T3" s="1434"/>
      <c r="U3" s="1434"/>
      <c r="V3" s="1434"/>
      <c r="W3" s="1434"/>
      <c r="X3" s="1434"/>
      <c r="Y3" s="1434"/>
      <c r="Z3" s="1434"/>
      <c r="AA3" s="1434"/>
    </row>
    <row r="4" spans="1:91" ht="26.25" x14ac:dyDescent="0.25">
      <c r="A4" s="71" t="s">
        <v>347</v>
      </c>
      <c r="B4" s="71" t="s">
        <v>2</v>
      </c>
      <c r="C4" s="71" t="s">
        <v>133</v>
      </c>
      <c r="D4" s="1073" t="s">
        <v>1204</v>
      </c>
      <c r="E4" s="1073" t="s">
        <v>1204</v>
      </c>
      <c r="F4" s="1073" t="s">
        <v>1204</v>
      </c>
      <c r="G4" s="71" t="s">
        <v>1</v>
      </c>
      <c r="H4" s="71" t="s">
        <v>316</v>
      </c>
      <c r="I4" s="71" t="s">
        <v>314</v>
      </c>
      <c r="J4" s="74" t="s">
        <v>346</v>
      </c>
      <c r="K4" s="72"/>
      <c r="L4" s="72"/>
      <c r="M4" s="72"/>
      <c r="N4" s="72"/>
      <c r="O4" s="83"/>
      <c r="P4" s="83"/>
      <c r="Q4" s="83"/>
      <c r="R4" s="83"/>
      <c r="S4" s="83"/>
      <c r="T4" s="83"/>
      <c r="U4" s="83"/>
      <c r="V4" s="83"/>
      <c r="W4" s="74" t="s">
        <v>316</v>
      </c>
      <c r="X4" s="74" t="s">
        <v>348</v>
      </c>
      <c r="Y4" s="74" t="s">
        <v>1</v>
      </c>
      <c r="Z4" s="74" t="s">
        <v>131</v>
      </c>
      <c r="AA4" s="74" t="s">
        <v>131</v>
      </c>
    </row>
    <row r="5" spans="1:91" x14ac:dyDescent="0.25">
      <c r="A5" s="69"/>
      <c r="B5" s="69" t="s">
        <v>3</v>
      </c>
      <c r="C5" s="69" t="s">
        <v>134</v>
      </c>
      <c r="D5" s="1009" t="s">
        <v>1357</v>
      </c>
      <c r="E5" s="1009" t="s">
        <v>1336</v>
      </c>
      <c r="F5" s="1009" t="s">
        <v>1184</v>
      </c>
      <c r="G5" s="69" t="s">
        <v>314</v>
      </c>
      <c r="H5" s="69" t="s">
        <v>314</v>
      </c>
      <c r="I5" s="69" t="s">
        <v>315</v>
      </c>
      <c r="J5" s="70" t="s">
        <v>315</v>
      </c>
      <c r="K5" s="70" t="s">
        <v>0</v>
      </c>
      <c r="L5" s="70" t="s">
        <v>120</v>
      </c>
      <c r="M5" s="70" t="s">
        <v>121</v>
      </c>
      <c r="N5" s="70" t="s">
        <v>122</v>
      </c>
      <c r="O5" s="70" t="s">
        <v>123</v>
      </c>
      <c r="P5" s="70" t="s">
        <v>124</v>
      </c>
      <c r="Q5" s="70" t="s">
        <v>125</v>
      </c>
      <c r="R5" s="70" t="s">
        <v>126</v>
      </c>
      <c r="S5" s="70" t="s">
        <v>127</v>
      </c>
      <c r="T5" s="70" t="s">
        <v>128</v>
      </c>
      <c r="U5" s="70" t="s">
        <v>129</v>
      </c>
      <c r="V5" s="70" t="s">
        <v>130</v>
      </c>
      <c r="W5" s="70" t="s">
        <v>317</v>
      </c>
      <c r="X5" s="70" t="s">
        <v>315</v>
      </c>
      <c r="Y5" s="70" t="s">
        <v>317</v>
      </c>
      <c r="Z5" s="70" t="s">
        <v>314</v>
      </c>
      <c r="AA5" s="70" t="s">
        <v>132</v>
      </c>
    </row>
    <row r="6" spans="1:91" s="48" customFormat="1" x14ac:dyDescent="0.25">
      <c r="A6" s="953" t="s">
        <v>368</v>
      </c>
      <c r="D6" s="869"/>
      <c r="E6" s="869"/>
      <c r="F6" s="869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</row>
    <row r="7" spans="1:91" s="48" customFormat="1" x14ac:dyDescent="0.25">
      <c r="A7" s="110" t="s">
        <v>620</v>
      </c>
      <c r="B7" s="46"/>
      <c r="C7" s="52"/>
      <c r="D7" s="720"/>
      <c r="E7" s="720"/>
      <c r="F7" s="720"/>
      <c r="G7" s="52"/>
      <c r="H7" s="52"/>
      <c r="I7" s="52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718"/>
      <c r="Z7" s="43">
        <f>J7-Y7</f>
        <v>0</v>
      </c>
      <c r="AA7" s="89">
        <f t="shared" ref="AA7:AA24" si="0">G7-Y7</f>
        <v>0</v>
      </c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</row>
    <row r="8" spans="1:91" s="48" customFormat="1" x14ac:dyDescent="0.25">
      <c r="A8" s="201" t="s">
        <v>139</v>
      </c>
      <c r="B8" s="46"/>
      <c r="C8" s="52"/>
      <c r="D8" s="720"/>
      <c r="E8" s="720"/>
      <c r="F8" s="720"/>
      <c r="G8" s="52"/>
      <c r="H8" s="52"/>
      <c r="I8" s="52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718"/>
      <c r="Z8" s="43">
        <f>J8-Y8</f>
        <v>0</v>
      </c>
      <c r="AA8" s="89">
        <f t="shared" si="0"/>
        <v>0</v>
      </c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</row>
    <row r="9" spans="1:91" s="48" customFormat="1" x14ac:dyDescent="0.25">
      <c r="A9" s="235" t="s">
        <v>371</v>
      </c>
      <c r="B9" s="116" t="s">
        <v>70</v>
      </c>
      <c r="C9" s="434">
        <v>100000</v>
      </c>
      <c r="D9" s="434"/>
      <c r="E9" s="434"/>
      <c r="F9" s="434"/>
      <c r="G9" s="52">
        <f t="shared" ref="G9:G24" si="1">SUM(C9:F9)</f>
        <v>100000</v>
      </c>
      <c r="H9" s="52">
        <f>G9/12*9</f>
        <v>75000</v>
      </c>
      <c r="I9" s="52">
        <f>G9/12</f>
        <v>8333.3333333333339</v>
      </c>
      <c r="J9" s="43">
        <f t="shared" ref="J9:J24" si="2">H9+I9</f>
        <v>83333.333333333328</v>
      </c>
      <c r="K9" s="43"/>
      <c r="L9" s="43"/>
      <c r="M9" s="43"/>
      <c r="N9" s="43"/>
      <c r="O9" s="43"/>
      <c r="P9" s="43"/>
      <c r="Q9" s="43">
        <v>1660</v>
      </c>
      <c r="R9" s="43">
        <v>6220</v>
      </c>
      <c r="S9" s="43">
        <v>4055</v>
      </c>
      <c r="T9" s="43">
        <v>5140</v>
      </c>
      <c r="U9" s="43"/>
      <c r="V9" s="43"/>
      <c r="W9" s="43">
        <f>K9+L9+M9+N9+O9+P9+Q9+R9+S9</f>
        <v>11935</v>
      </c>
      <c r="X9" s="43">
        <f>T9</f>
        <v>5140</v>
      </c>
      <c r="Y9" s="718">
        <f>W9+X9</f>
        <v>17075</v>
      </c>
      <c r="Z9" s="43">
        <f>J9-Y9</f>
        <v>66258.333333333328</v>
      </c>
      <c r="AA9" s="89">
        <f t="shared" si="0"/>
        <v>82925</v>
      </c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</row>
    <row r="10" spans="1:91" s="48" customFormat="1" x14ac:dyDescent="0.25">
      <c r="A10" s="235" t="s">
        <v>621</v>
      </c>
      <c r="B10" s="116"/>
      <c r="C10" s="434">
        <f>25000+75000</f>
        <v>100000</v>
      </c>
      <c r="D10" s="434"/>
      <c r="E10" s="434"/>
      <c r="F10" s="434"/>
      <c r="G10" s="720">
        <f t="shared" si="1"/>
        <v>100000</v>
      </c>
      <c r="H10" s="720">
        <f t="shared" ref="H10:H24" si="3">G10/12*9</f>
        <v>75000</v>
      </c>
      <c r="I10" s="52">
        <f t="shared" ref="I10:I24" si="4">G10/12</f>
        <v>8333.3333333333339</v>
      </c>
      <c r="J10" s="43">
        <f t="shared" si="2"/>
        <v>83333.333333333328</v>
      </c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718">
        <f t="shared" ref="W10:W23" si="5">K10+L10+M10+N10+O10+P10+Q10+R10+S10</f>
        <v>0</v>
      </c>
      <c r="X10" s="718">
        <f t="shared" ref="X10:X23" si="6">T10</f>
        <v>0</v>
      </c>
      <c r="Y10" s="718">
        <f t="shared" ref="Y10:Y32" si="7">W10+X10</f>
        <v>0</v>
      </c>
      <c r="Z10" s="43">
        <f t="shared" ref="Z10:Z32" si="8">J10-Y10</f>
        <v>83333.333333333328</v>
      </c>
      <c r="AA10" s="89">
        <f t="shared" si="0"/>
        <v>100000</v>
      </c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</row>
    <row r="11" spans="1:91" s="48" customFormat="1" x14ac:dyDescent="0.25">
      <c r="A11" s="201" t="s">
        <v>44</v>
      </c>
      <c r="B11" s="952" t="s">
        <v>140</v>
      </c>
      <c r="C11" s="434"/>
      <c r="D11" s="434"/>
      <c r="E11" s="434"/>
      <c r="F11" s="434"/>
      <c r="G11" s="720">
        <f t="shared" si="1"/>
        <v>0</v>
      </c>
      <c r="H11" s="720">
        <f t="shared" si="3"/>
        <v>0</v>
      </c>
      <c r="I11" s="52">
        <f t="shared" si="4"/>
        <v>0</v>
      </c>
      <c r="J11" s="43">
        <f t="shared" si="2"/>
        <v>0</v>
      </c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718">
        <f t="shared" si="5"/>
        <v>0</v>
      </c>
      <c r="X11" s="718">
        <f t="shared" si="6"/>
        <v>0</v>
      </c>
      <c r="Y11" s="718">
        <f t="shared" si="7"/>
        <v>0</v>
      </c>
      <c r="Z11" s="43">
        <f t="shared" si="8"/>
        <v>0</v>
      </c>
      <c r="AA11" s="89">
        <f t="shared" si="0"/>
        <v>0</v>
      </c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</row>
    <row r="12" spans="1:91" s="48" customFormat="1" x14ac:dyDescent="0.25">
      <c r="A12" s="235" t="s">
        <v>622</v>
      </c>
      <c r="B12" s="116"/>
      <c r="C12" s="434">
        <v>30000</v>
      </c>
      <c r="D12" s="434">
        <v>5060</v>
      </c>
      <c r="E12" s="434"/>
      <c r="F12" s="434"/>
      <c r="G12" s="720">
        <f t="shared" si="1"/>
        <v>35060</v>
      </c>
      <c r="H12" s="720">
        <f t="shared" si="3"/>
        <v>26295</v>
      </c>
      <c r="I12" s="52">
        <f t="shared" si="4"/>
        <v>2921.6666666666665</v>
      </c>
      <c r="J12" s="43">
        <f t="shared" si="2"/>
        <v>29216.666666666668</v>
      </c>
      <c r="K12" s="43"/>
      <c r="L12" s="43"/>
      <c r="M12" s="43"/>
      <c r="N12" s="43"/>
      <c r="O12" s="43"/>
      <c r="P12" s="43">
        <v>20000</v>
      </c>
      <c r="Q12" s="43">
        <v>5060</v>
      </c>
      <c r="R12" s="43"/>
      <c r="S12" s="43"/>
      <c r="T12" s="43"/>
      <c r="U12" s="43"/>
      <c r="V12" s="43"/>
      <c r="W12" s="718">
        <f t="shared" si="5"/>
        <v>25060</v>
      </c>
      <c r="X12" s="718">
        <f t="shared" si="6"/>
        <v>0</v>
      </c>
      <c r="Y12" s="718">
        <f t="shared" ref="Y12:Y24" si="9">W12+X12</f>
        <v>25060</v>
      </c>
      <c r="Z12" s="43">
        <f t="shared" ref="Z12:Z24" si="10">J12-Y12</f>
        <v>4156.6666666666679</v>
      </c>
      <c r="AA12" s="89">
        <f t="shared" si="0"/>
        <v>10000</v>
      </c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</row>
    <row r="13" spans="1:91" s="48" customFormat="1" x14ac:dyDescent="0.25">
      <c r="A13" s="235" t="s">
        <v>623</v>
      </c>
      <c r="B13" s="116"/>
      <c r="C13" s="434">
        <v>30000</v>
      </c>
      <c r="D13" s="434"/>
      <c r="E13" s="434"/>
      <c r="F13" s="434"/>
      <c r="G13" s="720">
        <f>SUM(C13:F13)</f>
        <v>30000</v>
      </c>
      <c r="H13" s="720">
        <f t="shared" si="3"/>
        <v>22500</v>
      </c>
      <c r="I13" s="52">
        <f t="shared" si="4"/>
        <v>2500</v>
      </c>
      <c r="J13" s="43">
        <f t="shared" si="2"/>
        <v>25000</v>
      </c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718">
        <f t="shared" si="5"/>
        <v>0</v>
      </c>
      <c r="X13" s="718">
        <f t="shared" si="6"/>
        <v>0</v>
      </c>
      <c r="Y13" s="718">
        <f t="shared" si="9"/>
        <v>0</v>
      </c>
      <c r="Z13" s="43">
        <f t="shared" si="10"/>
        <v>25000</v>
      </c>
      <c r="AA13" s="89">
        <f t="shared" si="0"/>
        <v>30000</v>
      </c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</row>
    <row r="14" spans="1:91" s="48" customFormat="1" x14ac:dyDescent="0.25">
      <c r="A14" s="235" t="s">
        <v>624</v>
      </c>
      <c r="B14" s="116"/>
      <c r="C14" s="434">
        <v>30000</v>
      </c>
      <c r="D14" s="434"/>
      <c r="E14" s="434"/>
      <c r="G14" s="720">
        <f t="shared" si="1"/>
        <v>30000</v>
      </c>
      <c r="H14" s="720">
        <f t="shared" si="3"/>
        <v>22500</v>
      </c>
      <c r="I14" s="52">
        <f t="shared" si="4"/>
        <v>2500</v>
      </c>
      <c r="J14" s="43">
        <f t="shared" si="2"/>
        <v>25000</v>
      </c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718">
        <f t="shared" si="5"/>
        <v>0</v>
      </c>
      <c r="X14" s="718">
        <f t="shared" si="6"/>
        <v>0</v>
      </c>
      <c r="Y14" s="718">
        <f t="shared" si="9"/>
        <v>0</v>
      </c>
      <c r="Z14" s="43">
        <f t="shared" si="10"/>
        <v>25000</v>
      </c>
      <c r="AA14" s="89">
        <f t="shared" si="0"/>
        <v>30000</v>
      </c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</row>
    <row r="15" spans="1:91" s="48" customFormat="1" x14ac:dyDescent="0.25">
      <c r="A15" s="235" t="s">
        <v>625</v>
      </c>
      <c r="B15" s="116"/>
      <c r="C15" s="434">
        <f>60000-30000</f>
        <v>30000</v>
      </c>
      <c r="D15" s="434"/>
      <c r="E15" s="434"/>
      <c r="F15" s="434"/>
      <c r="G15" s="720">
        <f t="shared" si="1"/>
        <v>30000</v>
      </c>
      <c r="H15" s="720">
        <f t="shared" si="3"/>
        <v>22500</v>
      </c>
      <c r="I15" s="52">
        <f t="shared" si="4"/>
        <v>2500</v>
      </c>
      <c r="J15" s="43">
        <f t="shared" si="2"/>
        <v>25000</v>
      </c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718">
        <f t="shared" si="5"/>
        <v>0</v>
      </c>
      <c r="X15" s="718">
        <f t="shared" si="6"/>
        <v>0</v>
      </c>
      <c r="Y15" s="718">
        <f t="shared" si="9"/>
        <v>0</v>
      </c>
      <c r="Z15" s="43">
        <f t="shared" si="10"/>
        <v>25000</v>
      </c>
      <c r="AA15" s="89">
        <f t="shared" si="0"/>
        <v>30000</v>
      </c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</row>
    <row r="16" spans="1:91" s="48" customFormat="1" x14ac:dyDescent="0.25">
      <c r="A16" s="201" t="s">
        <v>50</v>
      </c>
      <c r="B16" s="952" t="s">
        <v>51</v>
      </c>
      <c r="C16" s="434">
        <f>70000+30000</f>
        <v>100000</v>
      </c>
      <c r="D16" s="434"/>
      <c r="E16" s="434"/>
      <c r="F16" s="434"/>
      <c r="G16" s="720">
        <f t="shared" si="1"/>
        <v>100000</v>
      </c>
      <c r="H16" s="720">
        <f t="shared" si="3"/>
        <v>75000</v>
      </c>
      <c r="I16" s="52">
        <f t="shared" si="4"/>
        <v>8333.3333333333339</v>
      </c>
      <c r="J16" s="43">
        <f t="shared" si="2"/>
        <v>83333.333333333328</v>
      </c>
      <c r="K16" s="43"/>
      <c r="L16" s="43"/>
      <c r="M16" s="43">
        <v>960</v>
      </c>
      <c r="N16" s="43">
        <v>8435</v>
      </c>
      <c r="O16" s="43"/>
      <c r="P16" s="43"/>
      <c r="Q16" s="43">
        <v>39280</v>
      </c>
      <c r="R16" s="43"/>
      <c r="S16" s="43"/>
      <c r="T16" s="43"/>
      <c r="U16" s="43"/>
      <c r="V16" s="43"/>
      <c r="W16" s="718">
        <f t="shared" si="5"/>
        <v>48675</v>
      </c>
      <c r="X16" s="718">
        <f t="shared" si="6"/>
        <v>0</v>
      </c>
      <c r="Y16" s="718">
        <f t="shared" si="9"/>
        <v>48675</v>
      </c>
      <c r="Z16" s="43">
        <f t="shared" si="10"/>
        <v>34658.333333333328</v>
      </c>
      <c r="AA16" s="89">
        <f t="shared" si="0"/>
        <v>51325</v>
      </c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</row>
    <row r="17" spans="1:91" s="48" customFormat="1" x14ac:dyDescent="0.25">
      <c r="A17" s="201" t="s">
        <v>481</v>
      </c>
      <c r="B17" s="952" t="s">
        <v>60</v>
      </c>
      <c r="C17" s="434">
        <v>30000</v>
      </c>
      <c r="D17" s="434"/>
      <c r="E17" s="434"/>
      <c r="F17" s="434"/>
      <c r="G17" s="720">
        <f t="shared" si="1"/>
        <v>30000</v>
      </c>
      <c r="H17" s="720">
        <f t="shared" si="3"/>
        <v>22500</v>
      </c>
      <c r="I17" s="52">
        <f t="shared" si="4"/>
        <v>2500</v>
      </c>
      <c r="J17" s="43">
        <f t="shared" si="2"/>
        <v>25000</v>
      </c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718">
        <f t="shared" si="5"/>
        <v>0</v>
      </c>
      <c r="X17" s="718">
        <f t="shared" si="6"/>
        <v>0</v>
      </c>
      <c r="Y17" s="718">
        <f t="shared" si="9"/>
        <v>0</v>
      </c>
      <c r="Z17" s="43">
        <f t="shared" si="10"/>
        <v>25000</v>
      </c>
      <c r="AA17" s="89">
        <f t="shared" si="0"/>
        <v>30000</v>
      </c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160"/>
      <c r="CI17" s="160"/>
      <c r="CJ17" s="160"/>
      <c r="CK17" s="160"/>
      <c r="CL17" s="160"/>
      <c r="CM17" s="160"/>
    </row>
    <row r="18" spans="1:91" s="48" customFormat="1" x14ac:dyDescent="0.25">
      <c r="A18" s="201" t="s">
        <v>61</v>
      </c>
      <c r="B18" s="952" t="s">
        <v>62</v>
      </c>
      <c r="C18" s="434">
        <v>20000</v>
      </c>
      <c r="D18" s="434"/>
      <c r="E18" s="434"/>
      <c r="F18" s="434"/>
      <c r="G18" s="720">
        <f t="shared" si="1"/>
        <v>20000</v>
      </c>
      <c r="H18" s="720">
        <f t="shared" si="3"/>
        <v>15000</v>
      </c>
      <c r="I18" s="52">
        <f t="shared" si="4"/>
        <v>1666.6666666666667</v>
      </c>
      <c r="J18" s="43">
        <f t="shared" si="2"/>
        <v>16666.666666666668</v>
      </c>
      <c r="K18" s="43"/>
      <c r="L18" s="43">
        <v>1299</v>
      </c>
      <c r="M18" s="43"/>
      <c r="N18" s="43">
        <v>2697</v>
      </c>
      <c r="O18" s="43">
        <v>1398</v>
      </c>
      <c r="P18" s="43">
        <v>1398</v>
      </c>
      <c r="Q18" s="43">
        <v>1398</v>
      </c>
      <c r="R18" s="43">
        <v>1398</v>
      </c>
      <c r="S18" s="43">
        <v>1398</v>
      </c>
      <c r="T18" s="43">
        <v>1398</v>
      </c>
      <c r="U18" s="43"/>
      <c r="V18" s="43"/>
      <c r="W18" s="718">
        <f t="shared" si="5"/>
        <v>10986</v>
      </c>
      <c r="X18" s="718">
        <f t="shared" si="6"/>
        <v>1398</v>
      </c>
      <c r="Y18" s="718">
        <f t="shared" si="9"/>
        <v>12384</v>
      </c>
      <c r="Z18" s="43">
        <f t="shared" si="10"/>
        <v>4282.6666666666679</v>
      </c>
      <c r="AA18" s="89">
        <f t="shared" si="0"/>
        <v>7616</v>
      </c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0"/>
      <c r="BW18" s="160"/>
      <c r="BX18" s="160"/>
      <c r="BY18" s="160"/>
      <c r="BZ18" s="160"/>
      <c r="CA18" s="160"/>
      <c r="CB18" s="160"/>
      <c r="CC18" s="160"/>
      <c r="CD18" s="160"/>
      <c r="CE18" s="160"/>
      <c r="CF18" s="160"/>
      <c r="CG18" s="160"/>
      <c r="CH18" s="160"/>
      <c r="CI18" s="160"/>
      <c r="CJ18" s="160"/>
      <c r="CK18" s="160"/>
      <c r="CL18" s="160"/>
      <c r="CM18" s="160"/>
    </row>
    <row r="19" spans="1:91" s="48" customFormat="1" x14ac:dyDescent="0.25">
      <c r="A19" s="201" t="s">
        <v>69</v>
      </c>
      <c r="B19" s="116"/>
      <c r="C19" s="434">
        <f>1140000-305400</f>
        <v>834600</v>
      </c>
      <c r="D19" s="434"/>
      <c r="E19" s="434"/>
      <c r="F19" s="434"/>
      <c r="G19" s="720">
        <f t="shared" si="1"/>
        <v>834600</v>
      </c>
      <c r="H19" s="720">
        <f t="shared" si="3"/>
        <v>625950</v>
      </c>
      <c r="I19" s="52">
        <f t="shared" si="4"/>
        <v>69550</v>
      </c>
      <c r="J19" s="43">
        <f t="shared" si="2"/>
        <v>695500</v>
      </c>
      <c r="K19" s="43">
        <v>43126.29</v>
      </c>
      <c r="L19" s="43">
        <v>67742.5</v>
      </c>
      <c r="M19" s="43">
        <v>67705.820000000007</v>
      </c>
      <c r="N19" s="43">
        <v>67752.27</v>
      </c>
      <c r="O19" s="43">
        <v>67800</v>
      </c>
      <c r="P19" s="43">
        <f>37545.46+33900</f>
        <v>71445.459999999992</v>
      </c>
      <c r="Q19" s="43">
        <v>54909.1</v>
      </c>
      <c r="R19" s="43">
        <v>67800</v>
      </c>
      <c r="S19" s="43">
        <v>67800</v>
      </c>
      <c r="T19" s="43">
        <v>74850</v>
      </c>
      <c r="U19" s="43"/>
      <c r="V19" s="43"/>
      <c r="W19" s="718">
        <f t="shared" si="5"/>
        <v>576081.43999999994</v>
      </c>
      <c r="X19" s="718">
        <f t="shared" si="6"/>
        <v>74850</v>
      </c>
      <c r="Y19" s="718">
        <f t="shared" si="9"/>
        <v>650931.43999999994</v>
      </c>
      <c r="Z19" s="43">
        <f t="shared" si="10"/>
        <v>44568.560000000056</v>
      </c>
      <c r="AA19" s="89">
        <f t="shared" si="0"/>
        <v>183668.56000000006</v>
      </c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0"/>
      <c r="CL19" s="160"/>
      <c r="CM19" s="160"/>
    </row>
    <row r="20" spans="1:91" s="48" customFormat="1" x14ac:dyDescent="0.25">
      <c r="A20" s="201" t="s">
        <v>626</v>
      </c>
      <c r="B20" s="116"/>
      <c r="C20" s="434"/>
      <c r="D20" s="434"/>
      <c r="E20" s="434"/>
      <c r="F20" s="434"/>
      <c r="G20" s="720">
        <f t="shared" si="1"/>
        <v>0</v>
      </c>
      <c r="H20" s="720">
        <f t="shared" si="3"/>
        <v>0</v>
      </c>
      <c r="I20" s="52">
        <f t="shared" si="4"/>
        <v>0</v>
      </c>
      <c r="J20" s="43">
        <f t="shared" si="2"/>
        <v>0</v>
      </c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718">
        <f t="shared" si="5"/>
        <v>0</v>
      </c>
      <c r="X20" s="718">
        <f t="shared" si="6"/>
        <v>0</v>
      </c>
      <c r="Y20" s="718">
        <f t="shared" si="9"/>
        <v>0</v>
      </c>
      <c r="Z20" s="43">
        <f t="shared" si="10"/>
        <v>0</v>
      </c>
      <c r="AA20" s="89">
        <f t="shared" si="0"/>
        <v>0</v>
      </c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0"/>
      <c r="CD20" s="160"/>
      <c r="CE20" s="160"/>
      <c r="CF20" s="160"/>
      <c r="CG20" s="160"/>
      <c r="CH20" s="160"/>
      <c r="CI20" s="160"/>
      <c r="CJ20" s="160"/>
      <c r="CK20" s="160"/>
      <c r="CL20" s="160"/>
      <c r="CM20" s="160"/>
    </row>
    <row r="21" spans="1:91" s="48" customFormat="1" x14ac:dyDescent="0.25">
      <c r="A21" s="433" t="s">
        <v>110</v>
      </c>
      <c r="B21" s="116"/>
      <c r="C21" s="434">
        <v>30000</v>
      </c>
      <c r="D21" s="434"/>
      <c r="E21" s="434"/>
      <c r="F21" s="434"/>
      <c r="G21" s="720">
        <f t="shared" si="1"/>
        <v>30000</v>
      </c>
      <c r="H21" s="720">
        <f t="shared" si="3"/>
        <v>22500</v>
      </c>
      <c r="I21" s="52">
        <f t="shared" si="4"/>
        <v>2500</v>
      </c>
      <c r="J21" s="43">
        <f t="shared" si="2"/>
        <v>25000</v>
      </c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718">
        <f t="shared" si="5"/>
        <v>0</v>
      </c>
      <c r="X21" s="718">
        <f t="shared" si="6"/>
        <v>0</v>
      </c>
      <c r="Y21" s="718">
        <f t="shared" si="9"/>
        <v>0</v>
      </c>
      <c r="Z21" s="43">
        <f t="shared" si="10"/>
        <v>25000</v>
      </c>
      <c r="AA21" s="89">
        <f t="shared" si="0"/>
        <v>30000</v>
      </c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</row>
    <row r="22" spans="1:91" s="48" customFormat="1" x14ac:dyDescent="0.25">
      <c r="A22" s="433" t="s">
        <v>390</v>
      </c>
      <c r="B22" s="116"/>
      <c r="C22" s="434">
        <v>30000</v>
      </c>
      <c r="D22" s="434"/>
      <c r="E22" s="434"/>
      <c r="F22" s="434"/>
      <c r="G22" s="720">
        <f t="shared" si="1"/>
        <v>30000</v>
      </c>
      <c r="H22" s="720">
        <f t="shared" si="3"/>
        <v>22500</v>
      </c>
      <c r="I22" s="52">
        <f t="shared" si="4"/>
        <v>2500</v>
      </c>
      <c r="J22" s="43">
        <f t="shared" si="2"/>
        <v>25000</v>
      </c>
      <c r="K22" s="43"/>
      <c r="L22" s="43"/>
      <c r="M22" s="43"/>
      <c r="N22" s="43"/>
      <c r="O22" s="43"/>
      <c r="P22" s="43"/>
      <c r="Q22" s="43">
        <v>4500</v>
      </c>
      <c r="R22" s="43">
        <v>300</v>
      </c>
      <c r="S22" s="43"/>
      <c r="T22" s="43"/>
      <c r="U22" s="43"/>
      <c r="V22" s="43"/>
      <c r="W22" s="718">
        <f t="shared" si="5"/>
        <v>4800</v>
      </c>
      <c r="X22" s="718">
        <f t="shared" si="6"/>
        <v>0</v>
      </c>
      <c r="Y22" s="718">
        <f t="shared" si="9"/>
        <v>4800</v>
      </c>
      <c r="Z22" s="43">
        <f t="shared" si="10"/>
        <v>20200</v>
      </c>
      <c r="AA22" s="89">
        <f t="shared" si="0"/>
        <v>25200</v>
      </c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160"/>
      <c r="CI22" s="160"/>
      <c r="CJ22" s="160"/>
      <c r="CK22" s="160"/>
      <c r="CL22" s="160"/>
      <c r="CM22" s="160"/>
    </row>
    <row r="23" spans="1:91" s="48" customFormat="1" x14ac:dyDescent="0.25">
      <c r="A23" s="201" t="s">
        <v>253</v>
      </c>
      <c r="B23" s="116"/>
      <c r="C23" s="434"/>
      <c r="D23" s="434"/>
      <c r="E23" s="434"/>
      <c r="F23" s="434"/>
      <c r="G23" s="720">
        <f t="shared" si="1"/>
        <v>0</v>
      </c>
      <c r="H23" s="720">
        <f t="shared" si="3"/>
        <v>0</v>
      </c>
      <c r="I23" s="52">
        <f t="shared" si="4"/>
        <v>0</v>
      </c>
      <c r="J23" s="43">
        <f t="shared" si="2"/>
        <v>0</v>
      </c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718">
        <f t="shared" si="5"/>
        <v>0</v>
      </c>
      <c r="X23" s="718">
        <f t="shared" si="6"/>
        <v>0</v>
      </c>
      <c r="Y23" s="718">
        <f t="shared" si="9"/>
        <v>0</v>
      </c>
      <c r="Z23" s="43">
        <f t="shared" si="10"/>
        <v>0</v>
      </c>
      <c r="AA23" s="89">
        <f t="shared" si="0"/>
        <v>0</v>
      </c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160"/>
      <c r="CG23" s="160"/>
      <c r="CH23" s="160"/>
      <c r="CI23" s="160"/>
      <c r="CJ23" s="160"/>
      <c r="CK23" s="160"/>
      <c r="CL23" s="160"/>
      <c r="CM23" s="160"/>
    </row>
    <row r="24" spans="1:91" s="48" customFormat="1" x14ac:dyDescent="0.25">
      <c r="A24" s="235" t="s">
        <v>627</v>
      </c>
      <c r="B24" s="116"/>
      <c r="C24" s="434">
        <v>60000</v>
      </c>
      <c r="D24" s="434"/>
      <c r="E24" s="434"/>
      <c r="F24" s="434"/>
      <c r="G24" s="720">
        <f t="shared" si="1"/>
        <v>60000</v>
      </c>
      <c r="H24" s="720">
        <f t="shared" si="3"/>
        <v>45000</v>
      </c>
      <c r="I24" s="52">
        <f t="shared" si="4"/>
        <v>5000</v>
      </c>
      <c r="J24" s="43">
        <f t="shared" si="2"/>
        <v>50000</v>
      </c>
      <c r="K24" s="43"/>
      <c r="L24" s="43"/>
      <c r="M24" s="43"/>
      <c r="N24" s="43"/>
      <c r="O24" s="43"/>
      <c r="P24" s="43">
        <v>12083</v>
      </c>
      <c r="Q24" s="43">
        <v>9400</v>
      </c>
      <c r="R24" s="43"/>
      <c r="S24" s="43"/>
      <c r="T24" s="43"/>
      <c r="U24" s="43"/>
      <c r="V24" s="43"/>
      <c r="W24" s="718">
        <f t="shared" ref="W24" si="11">K24+L24+M24+N24+O24+P24+Q24+R24+S24</f>
        <v>21483</v>
      </c>
      <c r="X24" s="718">
        <f t="shared" ref="X24" si="12">T24</f>
        <v>0</v>
      </c>
      <c r="Y24" s="718">
        <f t="shared" si="9"/>
        <v>21483</v>
      </c>
      <c r="Z24" s="43">
        <f t="shared" si="10"/>
        <v>28517</v>
      </c>
      <c r="AA24" s="89">
        <f t="shared" si="0"/>
        <v>38517</v>
      </c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  <c r="CC24" s="160"/>
      <c r="CD24" s="160"/>
      <c r="CE24" s="160"/>
      <c r="CF24" s="160"/>
      <c r="CG24" s="160"/>
      <c r="CH24" s="160"/>
      <c r="CI24" s="160"/>
      <c r="CJ24" s="160"/>
      <c r="CK24" s="160"/>
      <c r="CL24" s="160"/>
      <c r="CM24" s="160"/>
    </row>
    <row r="25" spans="1:91" s="81" customFormat="1" x14ac:dyDescent="0.25">
      <c r="A25" s="184" t="s">
        <v>522</v>
      </c>
      <c r="B25" s="224"/>
      <c r="C25" s="78">
        <f>SUM(C9:C24)</f>
        <v>1424600</v>
      </c>
      <c r="D25" s="726">
        <f t="shared" ref="D25:F25" si="13">SUM(D9:D24)</f>
        <v>5060</v>
      </c>
      <c r="E25" s="726">
        <f t="shared" si="13"/>
        <v>0</v>
      </c>
      <c r="F25" s="726">
        <f t="shared" si="13"/>
        <v>0</v>
      </c>
      <c r="G25" s="726">
        <f t="shared" ref="G25" si="14">SUM(G9:G24)</f>
        <v>1429660</v>
      </c>
      <c r="H25" s="726">
        <f t="shared" ref="H25" si="15">SUM(H9:H24)</f>
        <v>1072245</v>
      </c>
      <c r="I25" s="78">
        <f t="shared" ref="I25:AA25" si="16">SUM(I9:I24)</f>
        <v>119138.33333333334</v>
      </c>
      <c r="J25" s="78">
        <f t="shared" si="16"/>
        <v>1191383.3333333333</v>
      </c>
      <c r="K25" s="78">
        <f t="shared" si="16"/>
        <v>43126.29</v>
      </c>
      <c r="L25" s="78">
        <f t="shared" si="16"/>
        <v>69041.5</v>
      </c>
      <c r="M25" s="78">
        <f t="shared" si="16"/>
        <v>68665.820000000007</v>
      </c>
      <c r="N25" s="78">
        <f t="shared" si="16"/>
        <v>78884.27</v>
      </c>
      <c r="O25" s="78">
        <f t="shared" si="16"/>
        <v>69198</v>
      </c>
      <c r="P25" s="78">
        <f t="shared" si="16"/>
        <v>104926.45999999999</v>
      </c>
      <c r="Q25" s="78">
        <f t="shared" si="16"/>
        <v>116207.1</v>
      </c>
      <c r="R25" s="78">
        <f t="shared" si="16"/>
        <v>75718</v>
      </c>
      <c r="S25" s="78">
        <f t="shared" si="16"/>
        <v>73253</v>
      </c>
      <c r="T25" s="78">
        <f t="shared" si="16"/>
        <v>81388</v>
      </c>
      <c r="U25" s="78">
        <f t="shared" si="16"/>
        <v>0</v>
      </c>
      <c r="V25" s="78">
        <f t="shared" si="16"/>
        <v>0</v>
      </c>
      <c r="W25" s="78">
        <f t="shared" si="16"/>
        <v>699020.44</v>
      </c>
      <c r="X25" s="78">
        <f t="shared" si="16"/>
        <v>81388</v>
      </c>
      <c r="Y25" s="78">
        <f t="shared" si="16"/>
        <v>780408.44</v>
      </c>
      <c r="Z25" s="78">
        <f t="shared" si="16"/>
        <v>410974.89333333337</v>
      </c>
      <c r="AA25" s="78">
        <f t="shared" si="16"/>
        <v>649251.56000000006</v>
      </c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435"/>
      <c r="AU25" s="435"/>
      <c r="AV25" s="435"/>
      <c r="AW25" s="435"/>
      <c r="AX25" s="435"/>
      <c r="AY25" s="435"/>
      <c r="AZ25" s="435"/>
      <c r="BA25" s="435"/>
      <c r="BB25" s="435"/>
      <c r="BC25" s="435"/>
      <c r="BD25" s="435"/>
      <c r="BE25" s="435"/>
      <c r="BF25" s="435"/>
      <c r="BG25" s="435"/>
      <c r="BH25" s="435"/>
      <c r="BI25" s="435"/>
      <c r="BJ25" s="435"/>
      <c r="BK25" s="435"/>
      <c r="BL25" s="435"/>
      <c r="BM25" s="435"/>
      <c r="BN25" s="435"/>
      <c r="BO25" s="435"/>
      <c r="BP25" s="435"/>
      <c r="BQ25" s="435"/>
      <c r="BR25" s="435"/>
      <c r="BS25" s="435"/>
      <c r="BT25" s="435"/>
      <c r="BU25" s="435"/>
      <c r="BV25" s="435"/>
      <c r="BW25" s="435"/>
      <c r="BX25" s="435"/>
      <c r="BY25" s="435"/>
      <c r="BZ25" s="435"/>
      <c r="CA25" s="435"/>
      <c r="CB25" s="435"/>
      <c r="CC25" s="435"/>
      <c r="CD25" s="435"/>
      <c r="CE25" s="435"/>
      <c r="CF25" s="435"/>
      <c r="CG25" s="435"/>
      <c r="CH25" s="435"/>
      <c r="CI25" s="435"/>
      <c r="CJ25" s="435"/>
      <c r="CK25" s="435"/>
      <c r="CL25" s="435"/>
      <c r="CM25" s="435"/>
    </row>
    <row r="26" spans="1:91" s="48" customFormat="1" x14ac:dyDescent="0.25">
      <c r="A26" s="184" t="s">
        <v>628</v>
      </c>
      <c r="B26" s="116"/>
      <c r="C26" s="52"/>
      <c r="D26" s="720"/>
      <c r="E26" s="720"/>
      <c r="F26" s="720"/>
      <c r="G26" s="52"/>
      <c r="H26" s="52"/>
      <c r="I26" s="52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77"/>
      <c r="Z26" s="43"/>
      <c r="AA26" s="89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</row>
    <row r="27" spans="1:91" s="48" customFormat="1" x14ac:dyDescent="0.25">
      <c r="A27" s="201" t="s">
        <v>390</v>
      </c>
      <c r="B27" s="116"/>
      <c r="C27" s="52"/>
      <c r="D27" s="720"/>
      <c r="E27" s="720"/>
      <c r="F27" s="720"/>
      <c r="G27" s="52"/>
      <c r="H27" s="52"/>
      <c r="I27" s="52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718">
        <f t="shared" ref="W27:W42" si="17">K27+L27+M27+N27+O27+P27+Q27+R27+S27</f>
        <v>0</v>
      </c>
      <c r="X27" s="718">
        <f t="shared" ref="X27:X42" si="18">T27</f>
        <v>0</v>
      </c>
      <c r="Y27" s="77"/>
      <c r="Z27" s="43"/>
      <c r="AA27" s="89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</row>
    <row r="28" spans="1:91" s="48" customFormat="1" x14ac:dyDescent="0.25">
      <c r="A28" s="235" t="s">
        <v>629</v>
      </c>
      <c r="B28" s="116"/>
      <c r="C28" s="52">
        <v>20400</v>
      </c>
      <c r="D28" s="720"/>
      <c r="E28" s="720"/>
      <c r="F28" s="720"/>
      <c r="G28" s="720">
        <f>SUM(C28:F28)</f>
        <v>20400</v>
      </c>
      <c r="H28" s="52">
        <f>G28</f>
        <v>20400</v>
      </c>
      <c r="I28" s="52">
        <f>G28</f>
        <v>20400</v>
      </c>
      <c r="J28" s="43">
        <f>G28</f>
        <v>20400</v>
      </c>
      <c r="K28" s="43"/>
      <c r="L28" s="43"/>
      <c r="M28" s="43"/>
      <c r="N28" s="43"/>
      <c r="O28" s="43"/>
      <c r="P28" s="43"/>
      <c r="Q28" s="43"/>
      <c r="R28" s="43">
        <v>19600</v>
      </c>
      <c r="S28" s="43"/>
      <c r="T28" s="43"/>
      <c r="U28" s="43"/>
      <c r="V28" s="43"/>
      <c r="W28" s="718">
        <f t="shared" si="17"/>
        <v>19600</v>
      </c>
      <c r="X28" s="718">
        <f t="shared" si="18"/>
        <v>0</v>
      </c>
      <c r="Y28" s="718">
        <f t="shared" si="7"/>
        <v>19600</v>
      </c>
      <c r="Z28" s="43">
        <f t="shared" si="8"/>
        <v>800</v>
      </c>
      <c r="AA28" s="1041">
        <f t="shared" ref="AA28:AA32" si="19">G28-Y28</f>
        <v>800</v>
      </c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</row>
    <row r="29" spans="1:91" s="48" customFormat="1" x14ac:dyDescent="0.25">
      <c r="A29" s="235" t="s">
        <v>630</v>
      </c>
      <c r="B29" s="116"/>
      <c r="C29" s="52">
        <f>40000+40000</f>
        <v>80000</v>
      </c>
      <c r="D29" s="720"/>
      <c r="E29" s="720"/>
      <c r="F29" s="720"/>
      <c r="G29" s="720">
        <f>SUM(C29:F29)</f>
        <v>80000</v>
      </c>
      <c r="H29" s="720">
        <f t="shared" ref="H29:H32" si="20">G29</f>
        <v>80000</v>
      </c>
      <c r="I29" s="720">
        <f t="shared" ref="I29:I42" si="21">G29</f>
        <v>80000</v>
      </c>
      <c r="J29" s="718">
        <f t="shared" ref="J29:J42" si="22">G29</f>
        <v>80000</v>
      </c>
      <c r="K29" s="43"/>
      <c r="L29" s="43"/>
      <c r="M29" s="43"/>
      <c r="N29" s="43"/>
      <c r="O29" s="43"/>
      <c r="P29" s="43">
        <v>49800</v>
      </c>
      <c r="Q29" s="43"/>
      <c r="R29" s="43"/>
      <c r="S29" s="43"/>
      <c r="T29" s="43"/>
      <c r="U29" s="43"/>
      <c r="V29" s="43"/>
      <c r="W29" s="718">
        <f t="shared" si="17"/>
        <v>49800</v>
      </c>
      <c r="X29" s="718">
        <f t="shared" si="18"/>
        <v>0</v>
      </c>
      <c r="Y29" s="718">
        <f t="shared" si="7"/>
        <v>49800</v>
      </c>
      <c r="Z29" s="43">
        <f t="shared" si="8"/>
        <v>30200</v>
      </c>
      <c r="AA29" s="1041">
        <f t="shared" si="19"/>
        <v>30200</v>
      </c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160"/>
      <c r="CI29" s="160"/>
      <c r="CJ29" s="160"/>
      <c r="CK29" s="160"/>
      <c r="CL29" s="160"/>
      <c r="CM29" s="160"/>
    </row>
    <row r="30" spans="1:91" s="48" customFormat="1" x14ac:dyDescent="0.25">
      <c r="A30" s="235" t="s">
        <v>631</v>
      </c>
      <c r="B30" s="116"/>
      <c r="C30" s="52">
        <v>35000</v>
      </c>
      <c r="D30" s="720"/>
      <c r="E30" s="720"/>
      <c r="F30" s="720"/>
      <c r="G30" s="720">
        <f t="shared" ref="G30:G42" si="23">SUM(C30:F30)</f>
        <v>35000</v>
      </c>
      <c r="H30" s="720">
        <f t="shared" si="20"/>
        <v>35000</v>
      </c>
      <c r="I30" s="720">
        <f t="shared" si="21"/>
        <v>35000</v>
      </c>
      <c r="J30" s="718">
        <f t="shared" si="22"/>
        <v>35000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718">
        <f t="shared" si="17"/>
        <v>0</v>
      </c>
      <c r="X30" s="718">
        <f t="shared" si="18"/>
        <v>0</v>
      </c>
      <c r="Y30" s="77">
        <f t="shared" si="7"/>
        <v>0</v>
      </c>
      <c r="Z30" s="43">
        <f t="shared" si="8"/>
        <v>35000</v>
      </c>
      <c r="AA30" s="1041">
        <f t="shared" si="19"/>
        <v>35000</v>
      </c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</row>
    <row r="31" spans="1:91" s="48" customFormat="1" x14ac:dyDescent="0.25">
      <c r="A31" s="201" t="s">
        <v>241</v>
      </c>
      <c r="B31" s="116"/>
      <c r="C31" s="52"/>
      <c r="D31" s="720"/>
      <c r="E31" s="720"/>
      <c r="F31" s="720"/>
      <c r="G31" s="720">
        <f t="shared" si="23"/>
        <v>0</v>
      </c>
      <c r="H31" s="720">
        <f t="shared" si="20"/>
        <v>0</v>
      </c>
      <c r="I31" s="720">
        <f t="shared" si="21"/>
        <v>0</v>
      </c>
      <c r="J31" s="718">
        <f t="shared" si="22"/>
        <v>0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718">
        <f t="shared" si="17"/>
        <v>0</v>
      </c>
      <c r="X31" s="718">
        <f t="shared" si="18"/>
        <v>0</v>
      </c>
      <c r="Y31" s="77">
        <f t="shared" si="7"/>
        <v>0</v>
      </c>
      <c r="Z31" s="43">
        <f t="shared" si="8"/>
        <v>0</v>
      </c>
      <c r="AA31" s="1041">
        <f t="shared" si="19"/>
        <v>0</v>
      </c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  <c r="CC31" s="160"/>
      <c r="CD31" s="160"/>
      <c r="CE31" s="160"/>
      <c r="CF31" s="160"/>
      <c r="CG31" s="160"/>
      <c r="CH31" s="160"/>
      <c r="CI31" s="160"/>
      <c r="CJ31" s="160"/>
      <c r="CK31" s="160"/>
      <c r="CL31" s="160"/>
      <c r="CM31" s="160"/>
    </row>
    <row r="32" spans="1:91" s="48" customFormat="1" x14ac:dyDescent="0.25">
      <c r="A32" s="235" t="s">
        <v>632</v>
      </c>
      <c r="B32" s="116"/>
      <c r="C32" s="117">
        <v>40000</v>
      </c>
      <c r="D32" s="117"/>
      <c r="E32" s="117"/>
      <c r="F32" s="117"/>
      <c r="G32" s="720">
        <f t="shared" si="23"/>
        <v>40000</v>
      </c>
      <c r="H32" s="720">
        <f t="shared" si="20"/>
        <v>40000</v>
      </c>
      <c r="I32" s="720">
        <f t="shared" si="21"/>
        <v>40000</v>
      </c>
      <c r="J32" s="718">
        <f t="shared" si="22"/>
        <v>40000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718">
        <f t="shared" si="17"/>
        <v>0</v>
      </c>
      <c r="X32" s="718">
        <f t="shared" si="18"/>
        <v>0</v>
      </c>
      <c r="Y32" s="77">
        <f t="shared" si="7"/>
        <v>0</v>
      </c>
      <c r="Z32" s="43">
        <f t="shared" si="8"/>
        <v>40000</v>
      </c>
      <c r="AA32" s="1041">
        <f t="shared" si="19"/>
        <v>40000</v>
      </c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0"/>
      <c r="CD32" s="160"/>
      <c r="CE32" s="160"/>
      <c r="CF32" s="160"/>
      <c r="CG32" s="160"/>
      <c r="CH32" s="160"/>
      <c r="CI32" s="160"/>
      <c r="CJ32" s="160"/>
      <c r="CK32" s="160"/>
      <c r="CL32" s="160"/>
      <c r="CM32" s="160"/>
    </row>
    <row r="33" spans="1:91" s="869" customFormat="1" x14ac:dyDescent="0.25">
      <c r="A33" s="1076" t="s">
        <v>1249</v>
      </c>
      <c r="B33" s="676"/>
      <c r="C33" s="117"/>
      <c r="D33" s="117"/>
      <c r="E33" s="117"/>
      <c r="F33" s="117"/>
      <c r="G33" s="720">
        <f t="shared" si="23"/>
        <v>0</v>
      </c>
      <c r="H33" s="720"/>
      <c r="I33" s="720">
        <f t="shared" si="21"/>
        <v>0</v>
      </c>
      <c r="J33" s="718">
        <f t="shared" si="22"/>
        <v>0</v>
      </c>
      <c r="K33" s="718"/>
      <c r="L33" s="718"/>
      <c r="M33" s="718"/>
      <c r="N33" s="718"/>
      <c r="O33" s="718"/>
      <c r="P33" s="718"/>
      <c r="Q33" s="718"/>
      <c r="R33" s="718"/>
      <c r="S33" s="718"/>
      <c r="T33" s="718"/>
      <c r="U33" s="718"/>
      <c r="V33" s="718"/>
      <c r="W33" s="718">
        <f t="shared" si="17"/>
        <v>0</v>
      </c>
      <c r="X33" s="718">
        <f t="shared" si="18"/>
        <v>0</v>
      </c>
      <c r="Y33" s="725">
        <f t="shared" ref="Y33:Y42" si="24">W33+X33</f>
        <v>0</v>
      </c>
      <c r="Z33" s="718">
        <f t="shared" ref="Z33:Z42" si="25">J33-Y33</f>
        <v>0</v>
      </c>
      <c r="AA33" s="1041">
        <f t="shared" ref="AA33:AA42" si="26">G33-Y33</f>
        <v>0</v>
      </c>
      <c r="AB33" s="734"/>
      <c r="AC33" s="734"/>
      <c r="AD33" s="734"/>
      <c r="AE33" s="734"/>
      <c r="AF33" s="734"/>
      <c r="AG33" s="734"/>
      <c r="AH33" s="734"/>
      <c r="AI33" s="734"/>
      <c r="AJ33" s="734"/>
      <c r="AK33" s="734"/>
      <c r="AL33" s="734"/>
      <c r="AM33" s="734"/>
      <c r="AN33" s="734"/>
      <c r="AO33" s="734"/>
      <c r="AP33" s="734"/>
      <c r="AQ33" s="734"/>
      <c r="AR33" s="734"/>
      <c r="AS33" s="734"/>
      <c r="AT33" s="734"/>
      <c r="AU33" s="734"/>
      <c r="AV33" s="734"/>
      <c r="AW33" s="734"/>
      <c r="AX33" s="734"/>
      <c r="AY33" s="734"/>
      <c r="AZ33" s="734"/>
      <c r="BA33" s="734"/>
      <c r="BB33" s="734"/>
      <c r="BC33" s="734"/>
      <c r="BD33" s="734"/>
      <c r="BE33" s="734"/>
      <c r="BF33" s="734"/>
      <c r="BG33" s="734"/>
      <c r="BH33" s="734"/>
      <c r="BI33" s="734"/>
      <c r="BJ33" s="734"/>
      <c r="BK33" s="734"/>
      <c r="BL33" s="734"/>
      <c r="BM33" s="734"/>
      <c r="BN33" s="734"/>
      <c r="BO33" s="734"/>
      <c r="BP33" s="734"/>
      <c r="BQ33" s="734"/>
      <c r="BR33" s="734"/>
      <c r="BS33" s="734"/>
      <c r="BT33" s="734"/>
      <c r="BU33" s="734"/>
      <c r="BV33" s="734"/>
      <c r="BW33" s="734"/>
      <c r="BX33" s="734"/>
      <c r="BY33" s="734"/>
      <c r="BZ33" s="734"/>
      <c r="CA33" s="734"/>
      <c r="CB33" s="734"/>
      <c r="CC33" s="734"/>
      <c r="CD33" s="734"/>
      <c r="CE33" s="734"/>
      <c r="CF33" s="734"/>
      <c r="CG33" s="734"/>
      <c r="CH33" s="734"/>
      <c r="CI33" s="734"/>
      <c r="CJ33" s="734"/>
      <c r="CK33" s="734"/>
      <c r="CL33" s="734"/>
      <c r="CM33" s="734"/>
    </row>
    <row r="34" spans="1:91" s="869" customFormat="1" ht="26.25" x14ac:dyDescent="0.25">
      <c r="A34" s="1129" t="s">
        <v>1250</v>
      </c>
      <c r="B34" s="676"/>
      <c r="C34" s="117"/>
      <c r="D34" s="117"/>
      <c r="E34" s="117">
        <v>169550</v>
      </c>
      <c r="F34" s="117"/>
      <c r="G34" s="720">
        <f t="shared" si="23"/>
        <v>169550</v>
      </c>
      <c r="H34" s="720"/>
      <c r="I34" s="720">
        <f t="shared" si="21"/>
        <v>169550</v>
      </c>
      <c r="J34" s="718">
        <f t="shared" si="22"/>
        <v>169550</v>
      </c>
      <c r="K34" s="718"/>
      <c r="L34" s="718"/>
      <c r="M34" s="718"/>
      <c r="N34" s="718"/>
      <c r="O34" s="718"/>
      <c r="P34" s="718"/>
      <c r="Q34" s="718">
        <v>169150</v>
      </c>
      <c r="R34" s="718"/>
      <c r="S34" s="718"/>
      <c r="T34" s="718"/>
      <c r="U34" s="718"/>
      <c r="V34" s="718"/>
      <c r="W34" s="718">
        <f t="shared" si="17"/>
        <v>169150</v>
      </c>
      <c r="X34" s="718">
        <f t="shared" si="18"/>
        <v>0</v>
      </c>
      <c r="Y34" s="718">
        <f t="shared" si="24"/>
        <v>169150</v>
      </c>
      <c r="Z34" s="718">
        <f t="shared" si="25"/>
        <v>400</v>
      </c>
      <c r="AA34" s="1041">
        <f t="shared" si="26"/>
        <v>400</v>
      </c>
      <c r="AB34" s="734"/>
      <c r="AC34" s="734"/>
      <c r="AD34" s="734"/>
      <c r="AE34" s="734"/>
      <c r="AF34" s="734"/>
      <c r="AG34" s="734"/>
      <c r="AH34" s="734"/>
      <c r="AI34" s="734"/>
      <c r="AJ34" s="734"/>
      <c r="AK34" s="734"/>
      <c r="AL34" s="734"/>
      <c r="AM34" s="734"/>
      <c r="AN34" s="734"/>
      <c r="AO34" s="734"/>
      <c r="AP34" s="734"/>
      <c r="AQ34" s="734"/>
      <c r="AR34" s="734"/>
      <c r="AS34" s="734"/>
      <c r="AT34" s="734"/>
      <c r="AU34" s="734"/>
      <c r="AV34" s="734"/>
      <c r="AW34" s="734"/>
      <c r="AX34" s="734"/>
      <c r="AY34" s="734"/>
      <c r="AZ34" s="734"/>
      <c r="BA34" s="734"/>
      <c r="BB34" s="734"/>
      <c r="BC34" s="734"/>
      <c r="BD34" s="734"/>
      <c r="BE34" s="734"/>
      <c r="BF34" s="734"/>
      <c r="BG34" s="734"/>
      <c r="BH34" s="734"/>
      <c r="BI34" s="734"/>
      <c r="BJ34" s="734"/>
      <c r="BK34" s="734"/>
      <c r="BL34" s="734"/>
      <c r="BM34" s="734"/>
      <c r="BN34" s="734"/>
      <c r="BO34" s="734"/>
      <c r="BP34" s="734"/>
      <c r="BQ34" s="734"/>
      <c r="BR34" s="734"/>
      <c r="BS34" s="734"/>
      <c r="BT34" s="734"/>
      <c r="BU34" s="734"/>
      <c r="BV34" s="734"/>
      <c r="BW34" s="734"/>
      <c r="BX34" s="734"/>
      <c r="BY34" s="734"/>
      <c r="BZ34" s="734"/>
      <c r="CA34" s="734"/>
      <c r="CB34" s="734"/>
      <c r="CC34" s="734"/>
      <c r="CD34" s="734"/>
      <c r="CE34" s="734"/>
      <c r="CF34" s="734"/>
      <c r="CG34" s="734"/>
      <c r="CH34" s="734"/>
      <c r="CI34" s="734"/>
      <c r="CJ34" s="734"/>
      <c r="CK34" s="734"/>
      <c r="CL34" s="734"/>
      <c r="CM34" s="734"/>
    </row>
    <row r="35" spans="1:91" s="869" customFormat="1" ht="26.25" x14ac:dyDescent="0.25">
      <c r="A35" s="1175" t="s">
        <v>1251</v>
      </c>
      <c r="B35" s="676"/>
      <c r="C35" s="117"/>
      <c r="D35" s="117"/>
      <c r="E35" s="117">
        <v>110150</v>
      </c>
      <c r="F35" s="117"/>
      <c r="G35" s="720">
        <f t="shared" si="23"/>
        <v>110150</v>
      </c>
      <c r="H35" s="720"/>
      <c r="I35" s="720">
        <f t="shared" si="21"/>
        <v>110150</v>
      </c>
      <c r="J35" s="718">
        <f t="shared" si="22"/>
        <v>110150</v>
      </c>
      <c r="K35" s="718"/>
      <c r="L35" s="718"/>
      <c r="M35" s="718"/>
      <c r="N35" s="718"/>
      <c r="O35" s="718"/>
      <c r="P35" s="718"/>
      <c r="Q35" s="718">
        <v>110150</v>
      </c>
      <c r="R35" s="718"/>
      <c r="S35" s="718"/>
      <c r="T35" s="718"/>
      <c r="U35" s="718"/>
      <c r="V35" s="718"/>
      <c r="W35" s="718">
        <f t="shared" si="17"/>
        <v>110150</v>
      </c>
      <c r="X35" s="718">
        <f t="shared" si="18"/>
        <v>0</v>
      </c>
      <c r="Y35" s="718">
        <f t="shared" si="24"/>
        <v>110150</v>
      </c>
      <c r="Z35" s="718">
        <f t="shared" si="25"/>
        <v>0</v>
      </c>
      <c r="AA35" s="874">
        <f t="shared" si="26"/>
        <v>0</v>
      </c>
      <c r="AB35" s="734"/>
      <c r="AC35" s="734"/>
      <c r="AD35" s="734"/>
      <c r="AE35" s="734"/>
      <c r="AF35" s="734"/>
      <c r="AG35" s="734"/>
      <c r="AH35" s="734"/>
      <c r="AI35" s="734"/>
      <c r="AJ35" s="734"/>
      <c r="AK35" s="734"/>
      <c r="AL35" s="734"/>
      <c r="AM35" s="734"/>
      <c r="AN35" s="734"/>
      <c r="AO35" s="734"/>
      <c r="AP35" s="734"/>
      <c r="AQ35" s="734"/>
      <c r="AR35" s="734"/>
      <c r="AS35" s="734"/>
      <c r="AT35" s="734"/>
      <c r="AU35" s="734"/>
      <c r="AV35" s="734"/>
      <c r="AW35" s="734"/>
      <c r="AX35" s="734"/>
      <c r="AY35" s="734"/>
      <c r="AZ35" s="734"/>
      <c r="BA35" s="734"/>
      <c r="BB35" s="734"/>
      <c r="BC35" s="734"/>
      <c r="BD35" s="734"/>
      <c r="BE35" s="734"/>
      <c r="BF35" s="734"/>
      <c r="BG35" s="734"/>
      <c r="BH35" s="734"/>
      <c r="BI35" s="734"/>
      <c r="BJ35" s="734"/>
      <c r="BK35" s="734"/>
      <c r="BL35" s="734"/>
      <c r="BM35" s="734"/>
      <c r="BN35" s="734"/>
      <c r="BO35" s="734"/>
      <c r="BP35" s="734"/>
      <c r="BQ35" s="734"/>
      <c r="BR35" s="734"/>
      <c r="BS35" s="734"/>
      <c r="BT35" s="734"/>
      <c r="BU35" s="734"/>
      <c r="BV35" s="734"/>
      <c r="BW35" s="734"/>
      <c r="BX35" s="734"/>
      <c r="BY35" s="734"/>
      <c r="BZ35" s="734"/>
      <c r="CA35" s="734"/>
      <c r="CB35" s="734"/>
      <c r="CC35" s="734"/>
      <c r="CD35" s="734"/>
      <c r="CE35" s="734"/>
      <c r="CF35" s="734"/>
      <c r="CG35" s="734"/>
      <c r="CH35" s="734"/>
      <c r="CI35" s="734"/>
      <c r="CJ35" s="734"/>
      <c r="CK35" s="734"/>
      <c r="CL35" s="734"/>
      <c r="CM35" s="734"/>
    </row>
    <row r="36" spans="1:91" s="869" customFormat="1" ht="39" x14ac:dyDescent="0.25">
      <c r="A36" s="1175" t="s">
        <v>1252</v>
      </c>
      <c r="B36" s="676"/>
      <c r="C36" s="117"/>
      <c r="D36" s="117"/>
      <c r="E36" s="117">
        <v>169850</v>
      </c>
      <c r="F36" s="117"/>
      <c r="G36" s="720">
        <f t="shared" si="23"/>
        <v>169850</v>
      </c>
      <c r="H36" s="720"/>
      <c r="I36" s="720">
        <f t="shared" si="21"/>
        <v>169850</v>
      </c>
      <c r="J36" s="718">
        <f t="shared" si="22"/>
        <v>169850</v>
      </c>
      <c r="K36" s="718"/>
      <c r="L36" s="718"/>
      <c r="M36" s="718"/>
      <c r="N36" s="718"/>
      <c r="O36" s="718"/>
      <c r="P36" s="718"/>
      <c r="Q36" s="718">
        <v>169850</v>
      </c>
      <c r="R36" s="718"/>
      <c r="S36" s="718"/>
      <c r="T36" s="718"/>
      <c r="U36" s="718"/>
      <c r="V36" s="718"/>
      <c r="W36" s="718">
        <f t="shared" si="17"/>
        <v>169850</v>
      </c>
      <c r="X36" s="718">
        <f t="shared" si="18"/>
        <v>0</v>
      </c>
      <c r="Y36" s="718">
        <f t="shared" si="24"/>
        <v>169850</v>
      </c>
      <c r="Z36" s="718">
        <f t="shared" si="25"/>
        <v>0</v>
      </c>
      <c r="AA36" s="874">
        <f t="shared" si="26"/>
        <v>0</v>
      </c>
      <c r="AB36" s="734"/>
      <c r="AC36" s="734"/>
      <c r="AD36" s="734"/>
      <c r="AE36" s="734"/>
      <c r="AF36" s="734"/>
      <c r="AG36" s="734"/>
      <c r="AH36" s="734"/>
      <c r="AI36" s="734"/>
      <c r="AJ36" s="734"/>
      <c r="AK36" s="734"/>
      <c r="AL36" s="734"/>
      <c r="AM36" s="734"/>
      <c r="AN36" s="734"/>
      <c r="AO36" s="734"/>
      <c r="AP36" s="734"/>
      <c r="AQ36" s="734"/>
      <c r="AR36" s="734"/>
      <c r="AS36" s="734"/>
      <c r="AT36" s="734"/>
      <c r="AU36" s="734"/>
      <c r="AV36" s="734"/>
      <c r="AW36" s="734"/>
      <c r="AX36" s="734"/>
      <c r="AY36" s="734"/>
      <c r="AZ36" s="734"/>
      <c r="BA36" s="734"/>
      <c r="BB36" s="734"/>
      <c r="BC36" s="734"/>
      <c r="BD36" s="734"/>
      <c r="BE36" s="734"/>
      <c r="BF36" s="734"/>
      <c r="BG36" s="734"/>
      <c r="BH36" s="734"/>
      <c r="BI36" s="734"/>
      <c r="BJ36" s="734"/>
      <c r="BK36" s="734"/>
      <c r="BL36" s="734"/>
      <c r="BM36" s="734"/>
      <c r="BN36" s="734"/>
      <c r="BO36" s="734"/>
      <c r="BP36" s="734"/>
      <c r="BQ36" s="734"/>
      <c r="BR36" s="734"/>
      <c r="BS36" s="734"/>
      <c r="BT36" s="734"/>
      <c r="BU36" s="734"/>
      <c r="BV36" s="734"/>
      <c r="BW36" s="734"/>
      <c r="BX36" s="734"/>
      <c r="BY36" s="734"/>
      <c r="BZ36" s="734"/>
      <c r="CA36" s="734"/>
      <c r="CB36" s="734"/>
      <c r="CC36" s="734"/>
      <c r="CD36" s="734"/>
      <c r="CE36" s="734"/>
      <c r="CF36" s="734"/>
      <c r="CG36" s="734"/>
      <c r="CH36" s="734"/>
      <c r="CI36" s="734"/>
      <c r="CJ36" s="734"/>
      <c r="CK36" s="734"/>
      <c r="CL36" s="734"/>
      <c r="CM36" s="734"/>
    </row>
    <row r="37" spans="1:91" s="869" customFormat="1" ht="39" x14ac:dyDescent="0.25">
      <c r="A37" s="1175" t="s">
        <v>1253</v>
      </c>
      <c r="B37" s="676"/>
      <c r="C37" s="117"/>
      <c r="D37" s="117"/>
      <c r="E37" s="117">
        <v>287965</v>
      </c>
      <c r="F37" s="117"/>
      <c r="G37" s="720">
        <f t="shared" si="23"/>
        <v>287965</v>
      </c>
      <c r="H37" s="720"/>
      <c r="I37" s="720">
        <f t="shared" si="21"/>
        <v>287965</v>
      </c>
      <c r="J37" s="718">
        <f t="shared" si="22"/>
        <v>287965</v>
      </c>
      <c r="K37" s="718"/>
      <c r="L37" s="718"/>
      <c r="M37" s="718"/>
      <c r="N37" s="718"/>
      <c r="O37" s="718"/>
      <c r="P37" s="718"/>
      <c r="Q37" s="718">
        <v>287965</v>
      </c>
      <c r="R37" s="718"/>
      <c r="S37" s="718"/>
      <c r="T37" s="718"/>
      <c r="U37" s="718"/>
      <c r="V37" s="718"/>
      <c r="W37" s="718">
        <f t="shared" si="17"/>
        <v>287965</v>
      </c>
      <c r="X37" s="718">
        <f t="shared" si="18"/>
        <v>0</v>
      </c>
      <c r="Y37" s="718">
        <f t="shared" si="24"/>
        <v>287965</v>
      </c>
      <c r="Z37" s="718">
        <f t="shared" si="25"/>
        <v>0</v>
      </c>
      <c r="AA37" s="874">
        <f t="shared" si="26"/>
        <v>0</v>
      </c>
      <c r="AB37" s="734"/>
      <c r="AC37" s="734"/>
      <c r="AD37" s="734"/>
      <c r="AE37" s="734"/>
      <c r="AF37" s="734"/>
      <c r="AG37" s="734"/>
      <c r="AH37" s="734"/>
      <c r="AI37" s="734"/>
      <c r="AJ37" s="734"/>
      <c r="AK37" s="734"/>
      <c r="AL37" s="734"/>
      <c r="AM37" s="734"/>
      <c r="AN37" s="734"/>
      <c r="AO37" s="734"/>
      <c r="AP37" s="734"/>
      <c r="AQ37" s="734"/>
      <c r="AR37" s="734"/>
      <c r="AS37" s="734"/>
      <c r="AT37" s="734"/>
      <c r="AU37" s="734"/>
      <c r="AV37" s="734"/>
      <c r="AW37" s="734"/>
      <c r="AX37" s="734"/>
      <c r="AY37" s="734"/>
      <c r="AZ37" s="734"/>
      <c r="BA37" s="734"/>
      <c r="BB37" s="734"/>
      <c r="BC37" s="734"/>
      <c r="BD37" s="734"/>
      <c r="BE37" s="734"/>
      <c r="BF37" s="734"/>
      <c r="BG37" s="734"/>
      <c r="BH37" s="734"/>
      <c r="BI37" s="734"/>
      <c r="BJ37" s="734"/>
      <c r="BK37" s="734"/>
      <c r="BL37" s="734"/>
      <c r="BM37" s="734"/>
      <c r="BN37" s="734"/>
      <c r="BO37" s="734"/>
      <c r="BP37" s="734"/>
      <c r="BQ37" s="734"/>
      <c r="BR37" s="734"/>
      <c r="BS37" s="734"/>
      <c r="BT37" s="734"/>
      <c r="BU37" s="734"/>
      <c r="BV37" s="734"/>
      <c r="BW37" s="734"/>
      <c r="BX37" s="734"/>
      <c r="BY37" s="734"/>
      <c r="BZ37" s="734"/>
      <c r="CA37" s="734"/>
      <c r="CB37" s="734"/>
      <c r="CC37" s="734"/>
      <c r="CD37" s="734"/>
      <c r="CE37" s="734"/>
      <c r="CF37" s="734"/>
      <c r="CG37" s="734"/>
      <c r="CH37" s="734"/>
      <c r="CI37" s="734"/>
      <c r="CJ37" s="734"/>
      <c r="CK37" s="734"/>
      <c r="CL37" s="734"/>
      <c r="CM37" s="734"/>
    </row>
    <row r="38" spans="1:91" s="869" customFormat="1" x14ac:dyDescent="0.25">
      <c r="A38" s="1179" t="s">
        <v>1212</v>
      </c>
      <c r="B38" s="676"/>
      <c r="C38" s="117"/>
      <c r="D38" s="117"/>
      <c r="E38" s="117"/>
      <c r="F38" s="117"/>
      <c r="G38" s="720">
        <f t="shared" si="23"/>
        <v>0</v>
      </c>
      <c r="H38" s="720"/>
      <c r="I38" s="720">
        <f t="shared" si="21"/>
        <v>0</v>
      </c>
      <c r="J38" s="718">
        <f t="shared" si="22"/>
        <v>0</v>
      </c>
      <c r="K38" s="718"/>
      <c r="L38" s="718"/>
      <c r="M38" s="718"/>
      <c r="N38" s="718"/>
      <c r="O38" s="718"/>
      <c r="P38" s="718"/>
      <c r="Q38" s="718"/>
      <c r="R38" s="718"/>
      <c r="S38" s="718"/>
      <c r="T38" s="718"/>
      <c r="U38" s="718"/>
      <c r="V38" s="718"/>
      <c r="W38" s="718">
        <f t="shared" si="17"/>
        <v>0</v>
      </c>
      <c r="X38" s="718">
        <f t="shared" si="18"/>
        <v>0</v>
      </c>
      <c r="Y38" s="718">
        <f t="shared" si="24"/>
        <v>0</v>
      </c>
      <c r="Z38" s="718">
        <f t="shared" si="25"/>
        <v>0</v>
      </c>
      <c r="AA38" s="874">
        <f t="shared" si="26"/>
        <v>0</v>
      </c>
      <c r="AB38" s="734"/>
      <c r="AC38" s="734"/>
      <c r="AD38" s="734"/>
      <c r="AE38" s="734"/>
      <c r="AF38" s="734"/>
      <c r="AG38" s="734"/>
      <c r="AH38" s="734"/>
      <c r="AI38" s="734"/>
      <c r="AJ38" s="734"/>
      <c r="AK38" s="734"/>
      <c r="AL38" s="734"/>
      <c r="AM38" s="734"/>
      <c r="AN38" s="734"/>
      <c r="AO38" s="734"/>
      <c r="AP38" s="734"/>
      <c r="AQ38" s="734"/>
      <c r="AR38" s="734"/>
      <c r="AS38" s="734"/>
      <c r="AT38" s="734"/>
      <c r="AU38" s="734"/>
      <c r="AV38" s="734"/>
      <c r="AW38" s="734"/>
      <c r="AX38" s="734"/>
      <c r="AY38" s="734"/>
      <c r="AZ38" s="734"/>
      <c r="BA38" s="734"/>
      <c r="BB38" s="734"/>
      <c r="BC38" s="734"/>
      <c r="BD38" s="734"/>
      <c r="BE38" s="734"/>
      <c r="BF38" s="734"/>
      <c r="BG38" s="734"/>
      <c r="BH38" s="734"/>
      <c r="BI38" s="734"/>
      <c r="BJ38" s="734"/>
      <c r="BK38" s="734"/>
      <c r="BL38" s="734"/>
      <c r="BM38" s="734"/>
      <c r="BN38" s="734"/>
      <c r="BO38" s="734"/>
      <c r="BP38" s="734"/>
      <c r="BQ38" s="734"/>
      <c r="BR38" s="734"/>
      <c r="BS38" s="734"/>
      <c r="BT38" s="734"/>
      <c r="BU38" s="734"/>
      <c r="BV38" s="734"/>
      <c r="BW38" s="734"/>
      <c r="BX38" s="734"/>
      <c r="BY38" s="734"/>
      <c r="BZ38" s="734"/>
      <c r="CA38" s="734"/>
      <c r="CB38" s="734"/>
      <c r="CC38" s="734"/>
      <c r="CD38" s="734"/>
      <c r="CE38" s="734"/>
      <c r="CF38" s="734"/>
      <c r="CG38" s="734"/>
      <c r="CH38" s="734"/>
      <c r="CI38" s="734"/>
      <c r="CJ38" s="734"/>
      <c r="CK38" s="734"/>
      <c r="CL38" s="734"/>
      <c r="CM38" s="734"/>
    </row>
    <row r="39" spans="1:91" s="869" customFormat="1" ht="39" x14ac:dyDescent="0.25">
      <c r="A39" s="1180" t="s">
        <v>1261</v>
      </c>
      <c r="B39" s="676"/>
      <c r="C39" s="117"/>
      <c r="D39" s="117"/>
      <c r="E39" s="117">
        <f>912980</f>
        <v>912980</v>
      </c>
      <c r="F39" s="117"/>
      <c r="G39" s="720">
        <f t="shared" si="23"/>
        <v>912980</v>
      </c>
      <c r="H39" s="720"/>
      <c r="I39" s="720">
        <f t="shared" si="21"/>
        <v>912980</v>
      </c>
      <c r="J39" s="718">
        <f t="shared" si="22"/>
        <v>912980</v>
      </c>
      <c r="K39" s="718"/>
      <c r="L39" s="718"/>
      <c r="M39" s="718"/>
      <c r="N39" s="718"/>
      <c r="O39" s="718"/>
      <c r="P39" s="718"/>
      <c r="Q39" s="718">
        <v>912980</v>
      </c>
      <c r="R39" s="718"/>
      <c r="S39" s="718"/>
      <c r="T39" s="718"/>
      <c r="U39" s="718"/>
      <c r="V39" s="718"/>
      <c r="W39" s="718">
        <f t="shared" si="17"/>
        <v>912980</v>
      </c>
      <c r="X39" s="718">
        <f t="shared" si="18"/>
        <v>0</v>
      </c>
      <c r="Y39" s="718">
        <f t="shared" si="24"/>
        <v>912980</v>
      </c>
      <c r="Z39" s="718">
        <f t="shared" si="25"/>
        <v>0</v>
      </c>
      <c r="AA39" s="874">
        <f t="shared" si="26"/>
        <v>0</v>
      </c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4"/>
      <c r="AM39" s="734"/>
      <c r="AN39" s="734"/>
      <c r="AO39" s="734"/>
      <c r="AP39" s="734"/>
      <c r="AQ39" s="734"/>
      <c r="AR39" s="734"/>
      <c r="AS39" s="734"/>
      <c r="AT39" s="734"/>
      <c r="AU39" s="734"/>
      <c r="AV39" s="734"/>
      <c r="AW39" s="734"/>
      <c r="AX39" s="734"/>
      <c r="AY39" s="734"/>
      <c r="AZ39" s="734"/>
      <c r="BA39" s="734"/>
      <c r="BB39" s="734"/>
      <c r="BC39" s="734"/>
      <c r="BD39" s="734"/>
      <c r="BE39" s="734"/>
      <c r="BF39" s="734"/>
      <c r="BG39" s="734"/>
      <c r="BH39" s="734"/>
      <c r="BI39" s="734"/>
      <c r="BJ39" s="734"/>
      <c r="BK39" s="734"/>
      <c r="BL39" s="734"/>
      <c r="BM39" s="734"/>
      <c r="BN39" s="734"/>
      <c r="BO39" s="734"/>
      <c r="BP39" s="734"/>
      <c r="BQ39" s="734"/>
      <c r="BR39" s="734"/>
      <c r="BS39" s="734"/>
      <c r="BT39" s="734"/>
      <c r="BU39" s="734"/>
      <c r="BV39" s="734"/>
      <c r="BW39" s="734"/>
      <c r="BX39" s="734"/>
      <c r="BY39" s="734"/>
      <c r="BZ39" s="734"/>
      <c r="CA39" s="734"/>
      <c r="CB39" s="734"/>
      <c r="CC39" s="734"/>
      <c r="CD39" s="734"/>
      <c r="CE39" s="734"/>
      <c r="CF39" s="734"/>
      <c r="CG39" s="734"/>
      <c r="CH39" s="734"/>
      <c r="CI39" s="734"/>
      <c r="CJ39" s="734"/>
      <c r="CK39" s="734"/>
      <c r="CL39" s="734"/>
      <c r="CM39" s="734"/>
    </row>
    <row r="40" spans="1:91" s="869" customFormat="1" x14ac:dyDescent="0.25">
      <c r="A40" s="1181" t="s">
        <v>1277</v>
      </c>
      <c r="B40" s="676"/>
      <c r="C40" s="117"/>
      <c r="D40" s="117"/>
      <c r="E40" s="117"/>
      <c r="F40" s="117"/>
      <c r="G40" s="720">
        <f t="shared" si="23"/>
        <v>0</v>
      </c>
      <c r="H40" s="720"/>
      <c r="I40" s="720">
        <f t="shared" si="21"/>
        <v>0</v>
      </c>
      <c r="J40" s="718">
        <f t="shared" si="22"/>
        <v>0</v>
      </c>
      <c r="K40" s="718"/>
      <c r="L40" s="718"/>
      <c r="M40" s="718"/>
      <c r="N40" s="718"/>
      <c r="O40" s="718"/>
      <c r="P40" s="718"/>
      <c r="Q40" s="718"/>
      <c r="R40" s="718"/>
      <c r="S40" s="718"/>
      <c r="T40" s="718"/>
      <c r="U40" s="718"/>
      <c r="V40" s="718"/>
      <c r="W40" s="718">
        <f t="shared" si="17"/>
        <v>0</v>
      </c>
      <c r="X40" s="718">
        <f t="shared" si="18"/>
        <v>0</v>
      </c>
      <c r="Y40" s="718">
        <f t="shared" si="24"/>
        <v>0</v>
      </c>
      <c r="Z40" s="718">
        <f t="shared" si="25"/>
        <v>0</v>
      </c>
      <c r="AA40" s="874">
        <f t="shared" si="26"/>
        <v>0</v>
      </c>
      <c r="AB40" s="734"/>
      <c r="AC40" s="734"/>
      <c r="AD40" s="734"/>
      <c r="AE40" s="734"/>
      <c r="AF40" s="734"/>
      <c r="AG40" s="734"/>
      <c r="AH40" s="734"/>
      <c r="AI40" s="734"/>
      <c r="AJ40" s="734"/>
      <c r="AK40" s="734"/>
      <c r="AL40" s="734"/>
      <c r="AM40" s="734"/>
      <c r="AN40" s="734"/>
      <c r="AO40" s="734"/>
      <c r="AP40" s="734"/>
      <c r="AQ40" s="734"/>
      <c r="AR40" s="734"/>
      <c r="AS40" s="734"/>
      <c r="AT40" s="734"/>
      <c r="AU40" s="734"/>
      <c r="AV40" s="734"/>
      <c r="AW40" s="734"/>
      <c r="AX40" s="734"/>
      <c r="AY40" s="734"/>
      <c r="AZ40" s="734"/>
      <c r="BA40" s="734"/>
      <c r="BB40" s="734"/>
      <c r="BC40" s="734"/>
      <c r="BD40" s="734"/>
      <c r="BE40" s="734"/>
      <c r="BF40" s="734"/>
      <c r="BG40" s="734"/>
      <c r="BH40" s="734"/>
      <c r="BI40" s="734"/>
      <c r="BJ40" s="734"/>
      <c r="BK40" s="734"/>
      <c r="BL40" s="734"/>
      <c r="BM40" s="734"/>
      <c r="BN40" s="734"/>
      <c r="BO40" s="734"/>
      <c r="BP40" s="734"/>
      <c r="BQ40" s="734"/>
      <c r="BR40" s="734"/>
      <c r="BS40" s="734"/>
      <c r="BT40" s="734"/>
      <c r="BU40" s="734"/>
      <c r="BV40" s="734"/>
      <c r="BW40" s="734"/>
      <c r="BX40" s="734"/>
      <c r="BY40" s="734"/>
      <c r="BZ40" s="734"/>
      <c r="CA40" s="734"/>
      <c r="CB40" s="734"/>
      <c r="CC40" s="734"/>
      <c r="CD40" s="734"/>
      <c r="CE40" s="734"/>
      <c r="CF40" s="734"/>
      <c r="CG40" s="734"/>
      <c r="CH40" s="734"/>
      <c r="CI40" s="734"/>
      <c r="CJ40" s="734"/>
      <c r="CK40" s="734"/>
      <c r="CL40" s="734"/>
      <c r="CM40" s="734"/>
    </row>
    <row r="41" spans="1:91" s="869" customFormat="1" ht="26.25" x14ac:dyDescent="0.25">
      <c r="A41" s="1184" t="s">
        <v>1276</v>
      </c>
      <c r="B41" s="676"/>
      <c r="C41" s="117"/>
      <c r="D41" s="117"/>
      <c r="E41" s="117">
        <f>349505</f>
        <v>349505</v>
      </c>
      <c r="F41" s="117"/>
      <c r="G41" s="720">
        <f t="shared" si="23"/>
        <v>349505</v>
      </c>
      <c r="H41" s="720"/>
      <c r="I41" s="720">
        <f t="shared" si="21"/>
        <v>349505</v>
      </c>
      <c r="J41" s="718">
        <f t="shared" si="22"/>
        <v>349505</v>
      </c>
      <c r="K41" s="718"/>
      <c r="L41" s="718"/>
      <c r="M41" s="718"/>
      <c r="N41" s="718"/>
      <c r="O41" s="718"/>
      <c r="P41" s="718"/>
      <c r="Q41" s="718">
        <v>349505</v>
      </c>
      <c r="R41" s="718"/>
      <c r="S41" s="718"/>
      <c r="T41" s="718"/>
      <c r="U41" s="718"/>
      <c r="V41" s="718"/>
      <c r="W41" s="718">
        <f t="shared" si="17"/>
        <v>349505</v>
      </c>
      <c r="X41" s="718">
        <f t="shared" si="18"/>
        <v>0</v>
      </c>
      <c r="Y41" s="718">
        <f t="shared" si="24"/>
        <v>349505</v>
      </c>
      <c r="Z41" s="718">
        <f t="shared" si="25"/>
        <v>0</v>
      </c>
      <c r="AA41" s="874">
        <f t="shared" si="26"/>
        <v>0</v>
      </c>
      <c r="AB41" s="734"/>
      <c r="AC41" s="734"/>
      <c r="AD41" s="734"/>
      <c r="AE41" s="734"/>
      <c r="AF41" s="734"/>
      <c r="AG41" s="734"/>
      <c r="AH41" s="734"/>
      <c r="AI41" s="734"/>
      <c r="AJ41" s="734"/>
      <c r="AK41" s="734"/>
      <c r="AL41" s="734"/>
      <c r="AM41" s="734"/>
      <c r="AN41" s="734"/>
      <c r="AO41" s="734"/>
      <c r="AP41" s="734"/>
      <c r="AQ41" s="734"/>
      <c r="AR41" s="734"/>
      <c r="AS41" s="734"/>
      <c r="AT41" s="734"/>
      <c r="AU41" s="734"/>
      <c r="AV41" s="734"/>
      <c r="AW41" s="734"/>
      <c r="AX41" s="734"/>
      <c r="AY41" s="734"/>
      <c r="AZ41" s="734"/>
      <c r="BA41" s="734"/>
      <c r="BB41" s="734"/>
      <c r="BC41" s="734"/>
      <c r="BD41" s="734"/>
      <c r="BE41" s="734"/>
      <c r="BF41" s="734"/>
      <c r="BG41" s="734"/>
      <c r="BH41" s="734"/>
      <c r="BI41" s="734"/>
      <c r="BJ41" s="734"/>
      <c r="BK41" s="734"/>
      <c r="BL41" s="734"/>
      <c r="BM41" s="734"/>
      <c r="BN41" s="734"/>
      <c r="BO41" s="734"/>
      <c r="BP41" s="734"/>
      <c r="BQ41" s="734"/>
      <c r="BR41" s="734"/>
      <c r="BS41" s="734"/>
      <c r="BT41" s="734"/>
      <c r="BU41" s="734"/>
      <c r="BV41" s="734"/>
      <c r="BW41" s="734"/>
      <c r="BX41" s="734"/>
      <c r="BY41" s="734"/>
      <c r="BZ41" s="734"/>
      <c r="CA41" s="734"/>
      <c r="CB41" s="734"/>
      <c r="CC41" s="734"/>
      <c r="CD41" s="734"/>
      <c r="CE41" s="734"/>
      <c r="CF41" s="734"/>
      <c r="CG41" s="734"/>
      <c r="CH41" s="734"/>
      <c r="CI41" s="734"/>
      <c r="CJ41" s="734"/>
      <c r="CK41" s="734"/>
      <c r="CL41" s="734"/>
      <c r="CM41" s="734"/>
    </row>
    <row r="42" spans="1:91" s="869" customFormat="1" x14ac:dyDescent="0.25">
      <c r="A42" s="235"/>
      <c r="B42" s="676"/>
      <c r="C42" s="117"/>
      <c r="D42" s="117"/>
      <c r="E42" s="117"/>
      <c r="F42" s="117"/>
      <c r="G42" s="720">
        <f t="shared" si="23"/>
        <v>0</v>
      </c>
      <c r="H42" s="720"/>
      <c r="I42" s="720">
        <f t="shared" si="21"/>
        <v>0</v>
      </c>
      <c r="J42" s="718">
        <f t="shared" si="22"/>
        <v>0</v>
      </c>
      <c r="K42" s="718"/>
      <c r="L42" s="718"/>
      <c r="M42" s="718"/>
      <c r="N42" s="718"/>
      <c r="O42" s="718"/>
      <c r="P42" s="718"/>
      <c r="Q42" s="718"/>
      <c r="R42" s="718"/>
      <c r="S42" s="718"/>
      <c r="T42" s="718"/>
      <c r="U42" s="718"/>
      <c r="V42" s="718"/>
      <c r="W42" s="718">
        <f t="shared" si="17"/>
        <v>0</v>
      </c>
      <c r="X42" s="718">
        <f t="shared" si="18"/>
        <v>0</v>
      </c>
      <c r="Y42" s="725">
        <f t="shared" si="24"/>
        <v>0</v>
      </c>
      <c r="Z42" s="718">
        <f t="shared" si="25"/>
        <v>0</v>
      </c>
      <c r="AA42" s="874">
        <f t="shared" si="26"/>
        <v>0</v>
      </c>
      <c r="AB42" s="734"/>
      <c r="AC42" s="734"/>
      <c r="AD42" s="734"/>
      <c r="AE42" s="734"/>
      <c r="AF42" s="734"/>
      <c r="AG42" s="734"/>
      <c r="AH42" s="734"/>
      <c r="AI42" s="734"/>
      <c r="AJ42" s="734"/>
      <c r="AK42" s="734"/>
      <c r="AL42" s="734"/>
      <c r="AM42" s="734"/>
      <c r="AN42" s="734"/>
      <c r="AO42" s="734"/>
      <c r="AP42" s="734"/>
      <c r="AQ42" s="734"/>
      <c r="AR42" s="734"/>
      <c r="AS42" s="734"/>
      <c r="AT42" s="734"/>
      <c r="AU42" s="734"/>
      <c r="AV42" s="734"/>
      <c r="AW42" s="734"/>
      <c r="AX42" s="734"/>
      <c r="AY42" s="734"/>
      <c r="AZ42" s="734"/>
      <c r="BA42" s="734"/>
      <c r="BB42" s="734"/>
      <c r="BC42" s="734"/>
      <c r="BD42" s="734"/>
      <c r="BE42" s="734"/>
      <c r="BF42" s="734"/>
      <c r="BG42" s="734"/>
      <c r="BH42" s="734"/>
      <c r="BI42" s="734"/>
      <c r="BJ42" s="734"/>
      <c r="BK42" s="734"/>
      <c r="BL42" s="734"/>
      <c r="BM42" s="734"/>
      <c r="BN42" s="734"/>
      <c r="BO42" s="734"/>
      <c r="BP42" s="734"/>
      <c r="BQ42" s="734"/>
      <c r="BR42" s="734"/>
      <c r="BS42" s="734"/>
      <c r="BT42" s="734"/>
      <c r="BU42" s="734"/>
      <c r="BV42" s="734"/>
      <c r="BW42" s="734"/>
      <c r="BX42" s="734"/>
      <c r="BY42" s="734"/>
      <c r="BZ42" s="734"/>
      <c r="CA42" s="734"/>
      <c r="CB42" s="734"/>
      <c r="CC42" s="734"/>
      <c r="CD42" s="734"/>
      <c r="CE42" s="734"/>
      <c r="CF42" s="734"/>
      <c r="CG42" s="734"/>
      <c r="CH42" s="734"/>
      <c r="CI42" s="734"/>
      <c r="CJ42" s="734"/>
      <c r="CK42" s="734"/>
      <c r="CL42" s="734"/>
      <c r="CM42" s="734"/>
    </row>
    <row r="43" spans="1:91" s="81" customFormat="1" x14ac:dyDescent="0.25">
      <c r="A43" s="184" t="s">
        <v>634</v>
      </c>
      <c r="B43" s="224"/>
      <c r="C43" s="78">
        <f>SUM(C28:C42)</f>
        <v>175400</v>
      </c>
      <c r="D43" s="726">
        <f t="shared" ref="D43:F43" si="27">SUM(D28:D42)</f>
        <v>0</v>
      </c>
      <c r="E43" s="726">
        <f t="shared" si="27"/>
        <v>2000000</v>
      </c>
      <c r="F43" s="726">
        <f t="shared" si="27"/>
        <v>0</v>
      </c>
      <c r="G43" s="726">
        <f t="shared" ref="G43:AA43" si="28">SUM(G28:G42)</f>
        <v>2175400</v>
      </c>
      <c r="H43" s="726">
        <f t="shared" si="28"/>
        <v>175400</v>
      </c>
      <c r="I43" s="726">
        <f t="shared" si="28"/>
        <v>2175400</v>
      </c>
      <c r="J43" s="726">
        <f t="shared" si="28"/>
        <v>2175400</v>
      </c>
      <c r="K43" s="726">
        <f t="shared" si="28"/>
        <v>0</v>
      </c>
      <c r="L43" s="726">
        <f t="shared" si="28"/>
        <v>0</v>
      </c>
      <c r="M43" s="726">
        <f t="shared" si="28"/>
        <v>0</v>
      </c>
      <c r="N43" s="726">
        <f t="shared" si="28"/>
        <v>0</v>
      </c>
      <c r="O43" s="726">
        <f t="shared" si="28"/>
        <v>0</v>
      </c>
      <c r="P43" s="726">
        <f t="shared" si="28"/>
        <v>49800</v>
      </c>
      <c r="Q43" s="726">
        <f t="shared" si="28"/>
        <v>1999600</v>
      </c>
      <c r="R43" s="726">
        <f t="shared" si="28"/>
        <v>19600</v>
      </c>
      <c r="S43" s="726">
        <f t="shared" si="28"/>
        <v>0</v>
      </c>
      <c r="T43" s="726">
        <f t="shared" si="28"/>
        <v>0</v>
      </c>
      <c r="U43" s="726">
        <f t="shared" si="28"/>
        <v>0</v>
      </c>
      <c r="V43" s="726">
        <f t="shared" si="28"/>
        <v>0</v>
      </c>
      <c r="W43" s="726">
        <f t="shared" si="28"/>
        <v>2069000</v>
      </c>
      <c r="X43" s="726">
        <f t="shared" si="28"/>
        <v>0</v>
      </c>
      <c r="Y43" s="726">
        <f t="shared" si="28"/>
        <v>2069000</v>
      </c>
      <c r="Z43" s="726">
        <f t="shared" si="28"/>
        <v>106400</v>
      </c>
      <c r="AA43" s="726">
        <f t="shared" si="28"/>
        <v>106400</v>
      </c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435"/>
      <c r="AU43" s="435"/>
      <c r="AV43" s="435"/>
      <c r="AW43" s="435"/>
      <c r="AX43" s="435"/>
      <c r="AY43" s="435"/>
      <c r="AZ43" s="435"/>
      <c r="BA43" s="435"/>
      <c r="BB43" s="435"/>
      <c r="BC43" s="435"/>
      <c r="BD43" s="435"/>
      <c r="BE43" s="435"/>
      <c r="BF43" s="435"/>
      <c r="BG43" s="435"/>
      <c r="BH43" s="435"/>
      <c r="BI43" s="435"/>
      <c r="BJ43" s="435"/>
      <c r="BK43" s="435"/>
      <c r="BL43" s="435"/>
      <c r="BM43" s="435"/>
      <c r="BN43" s="435"/>
      <c r="BO43" s="435"/>
      <c r="BP43" s="435"/>
      <c r="BQ43" s="435"/>
      <c r="BR43" s="435"/>
      <c r="BS43" s="435"/>
      <c r="BT43" s="435"/>
      <c r="BU43" s="435"/>
      <c r="BV43" s="435"/>
      <c r="BW43" s="435"/>
      <c r="BX43" s="435"/>
      <c r="BY43" s="435"/>
      <c r="BZ43" s="435"/>
      <c r="CA43" s="435"/>
      <c r="CB43" s="435"/>
      <c r="CC43" s="435"/>
      <c r="CD43" s="435"/>
      <c r="CE43" s="435"/>
      <c r="CF43" s="435"/>
      <c r="CG43" s="435"/>
      <c r="CH43" s="435"/>
      <c r="CI43" s="435"/>
      <c r="CJ43" s="435"/>
      <c r="CK43" s="435"/>
      <c r="CL43" s="435"/>
      <c r="CM43" s="435"/>
    </row>
    <row r="44" spans="1:91" s="48" customFormat="1" x14ac:dyDescent="0.25">
      <c r="A44" s="184" t="s">
        <v>636</v>
      </c>
      <c r="B44" s="116"/>
      <c r="C44" s="52"/>
      <c r="D44" s="720"/>
      <c r="E44" s="720"/>
      <c r="F44" s="720"/>
      <c r="G44" s="52"/>
      <c r="H44" s="52"/>
      <c r="I44" s="52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77"/>
      <c r="Z44" s="43"/>
      <c r="AA44" s="89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/>
      <c r="BL44" s="160"/>
      <c r="BM44" s="160"/>
      <c r="BN44" s="160"/>
      <c r="BO44" s="160"/>
      <c r="BP44" s="160"/>
      <c r="BQ44" s="160"/>
      <c r="BR44" s="160"/>
      <c r="BS44" s="160"/>
      <c r="BT44" s="160"/>
      <c r="BU44" s="160"/>
      <c r="BV44" s="160"/>
      <c r="BW44" s="160"/>
      <c r="BX44" s="160"/>
      <c r="BY44" s="160"/>
      <c r="BZ44" s="160"/>
      <c r="CA44" s="160"/>
      <c r="CB44" s="160"/>
      <c r="CC44" s="160"/>
      <c r="CD44" s="160"/>
      <c r="CE44" s="160"/>
      <c r="CF44" s="160"/>
      <c r="CG44" s="160"/>
      <c r="CH44" s="160"/>
      <c r="CI44" s="160"/>
      <c r="CJ44" s="160"/>
      <c r="CK44" s="160"/>
      <c r="CL44" s="160"/>
      <c r="CM44" s="160"/>
    </row>
    <row r="45" spans="1:91" s="48" customFormat="1" x14ac:dyDescent="0.25">
      <c r="A45" s="439" t="s">
        <v>1111</v>
      </c>
      <c r="B45" s="437" t="s">
        <v>111</v>
      </c>
      <c r="D45" s="869"/>
      <c r="E45" s="869"/>
      <c r="F45" s="869"/>
      <c r="G45" s="52"/>
      <c r="H45" s="52"/>
      <c r="I45" s="52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718">
        <f t="shared" ref="W45:W51" si="29">K45+L45+M45+N45+O45+P45+Q45+R45+S45</f>
        <v>0</v>
      </c>
      <c r="X45" s="718">
        <f t="shared" ref="X45:X51" si="30">T45</f>
        <v>0</v>
      </c>
      <c r="Y45" s="77">
        <f t="shared" ref="Y45:Y51" si="31">W45+X45</f>
        <v>0</v>
      </c>
      <c r="Z45" s="43">
        <f t="shared" ref="Z45:Z51" si="32">J45-Y45</f>
        <v>0</v>
      </c>
      <c r="AA45" s="89">
        <f t="shared" ref="AA45:AA51" si="33">G45-Y45</f>
        <v>0</v>
      </c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  <c r="BL45" s="160"/>
      <c r="BM45" s="160"/>
      <c r="BN45" s="160"/>
      <c r="BO45" s="160"/>
      <c r="BP45" s="160"/>
      <c r="BQ45" s="160"/>
      <c r="BR45" s="160"/>
      <c r="BS45" s="160"/>
      <c r="BT45" s="160"/>
      <c r="BU45" s="160"/>
      <c r="BV45" s="160"/>
      <c r="BW45" s="160"/>
      <c r="BX45" s="160"/>
      <c r="BY45" s="160"/>
      <c r="BZ45" s="160"/>
      <c r="CA45" s="160"/>
      <c r="CB45" s="160"/>
      <c r="CC45" s="160"/>
      <c r="CD45" s="160"/>
      <c r="CE45" s="160"/>
      <c r="CF45" s="160"/>
      <c r="CG45" s="160"/>
      <c r="CH45" s="160"/>
      <c r="CI45" s="160"/>
      <c r="CJ45" s="160"/>
      <c r="CK45" s="160"/>
      <c r="CL45" s="160"/>
      <c r="CM45" s="160"/>
    </row>
    <row r="46" spans="1:91" s="48" customFormat="1" x14ac:dyDescent="0.25">
      <c r="A46" s="436" t="s">
        <v>637</v>
      </c>
      <c r="B46" s="437"/>
      <c r="C46" s="440">
        <v>3000</v>
      </c>
      <c r="D46" s="440"/>
      <c r="E46" s="440"/>
      <c r="F46" s="440">
        <f>-3000</f>
        <v>-3000</v>
      </c>
      <c r="G46" s="720">
        <f t="shared" ref="G46:G51" si="34">SUM(C46:F46)</f>
        <v>0</v>
      </c>
      <c r="H46" s="720">
        <f t="shared" ref="H46:H51" si="35">G46</f>
        <v>0</v>
      </c>
      <c r="I46" s="720">
        <f t="shared" ref="I46:I51" si="36">G46</f>
        <v>0</v>
      </c>
      <c r="J46" s="43">
        <f t="shared" ref="J46:J51" si="37">H46+I46</f>
        <v>0</v>
      </c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718">
        <f t="shared" si="29"/>
        <v>0</v>
      </c>
      <c r="X46" s="718">
        <f t="shared" si="30"/>
        <v>0</v>
      </c>
      <c r="Y46" s="77">
        <f t="shared" si="31"/>
        <v>0</v>
      </c>
      <c r="Z46" s="43">
        <f t="shared" si="32"/>
        <v>0</v>
      </c>
      <c r="AA46" s="89">
        <f t="shared" si="33"/>
        <v>0</v>
      </c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  <c r="BL46" s="160"/>
      <c r="BM46" s="160"/>
      <c r="BN46" s="160"/>
      <c r="BO46" s="160"/>
      <c r="BP46" s="160"/>
      <c r="BQ46" s="160"/>
      <c r="BR46" s="160"/>
      <c r="BS46" s="160"/>
      <c r="BT46" s="160"/>
      <c r="BU46" s="160"/>
      <c r="BV46" s="160"/>
      <c r="BW46" s="160"/>
      <c r="BX46" s="160"/>
      <c r="BY46" s="160"/>
      <c r="BZ46" s="160"/>
      <c r="CA46" s="160"/>
      <c r="CB46" s="160"/>
      <c r="CC46" s="160"/>
      <c r="CD46" s="160"/>
      <c r="CE46" s="160"/>
      <c r="CF46" s="160"/>
      <c r="CG46" s="160"/>
      <c r="CH46" s="160"/>
      <c r="CI46" s="160"/>
      <c r="CJ46" s="160"/>
      <c r="CK46" s="160"/>
      <c r="CL46" s="160"/>
      <c r="CM46" s="160"/>
    </row>
    <row r="47" spans="1:91" s="48" customFormat="1" x14ac:dyDescent="0.25">
      <c r="A47" s="436" t="s">
        <v>1110</v>
      </c>
      <c r="B47" s="437" t="s">
        <v>113</v>
      </c>
      <c r="C47" s="440"/>
      <c r="D47" s="440"/>
      <c r="E47" s="440"/>
      <c r="F47" s="440"/>
      <c r="G47" s="720">
        <f t="shared" si="34"/>
        <v>0</v>
      </c>
      <c r="H47" s="720">
        <f t="shared" si="35"/>
        <v>0</v>
      </c>
      <c r="I47" s="720">
        <f t="shared" si="36"/>
        <v>0</v>
      </c>
      <c r="J47" s="43">
        <f t="shared" si="37"/>
        <v>0</v>
      </c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718">
        <f t="shared" si="29"/>
        <v>0</v>
      </c>
      <c r="X47" s="718">
        <f t="shared" si="30"/>
        <v>0</v>
      </c>
      <c r="Y47" s="77">
        <f t="shared" si="31"/>
        <v>0</v>
      </c>
      <c r="Z47" s="43">
        <f t="shared" si="32"/>
        <v>0</v>
      </c>
      <c r="AA47" s="89">
        <f t="shared" si="33"/>
        <v>0</v>
      </c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0"/>
      <c r="BQ47" s="160"/>
      <c r="BR47" s="160"/>
      <c r="BS47" s="160"/>
      <c r="BT47" s="160"/>
      <c r="BU47" s="160"/>
      <c r="BV47" s="160"/>
      <c r="BW47" s="160"/>
      <c r="BX47" s="160"/>
      <c r="BY47" s="160"/>
      <c r="BZ47" s="160"/>
      <c r="CA47" s="160"/>
      <c r="CB47" s="160"/>
      <c r="CC47" s="160"/>
      <c r="CD47" s="160"/>
      <c r="CE47" s="160"/>
      <c r="CF47" s="160"/>
      <c r="CG47" s="160"/>
      <c r="CH47" s="160"/>
      <c r="CI47" s="160"/>
      <c r="CJ47" s="160"/>
      <c r="CK47" s="160"/>
      <c r="CL47" s="160"/>
      <c r="CM47" s="160"/>
    </row>
    <row r="48" spans="1:91" s="48" customFormat="1" x14ac:dyDescent="0.25">
      <c r="A48" s="436" t="s">
        <v>638</v>
      </c>
      <c r="B48" s="437"/>
      <c r="C48" s="440">
        <v>17300</v>
      </c>
      <c r="D48" s="440"/>
      <c r="E48" s="440"/>
      <c r="F48" s="440"/>
      <c r="G48" s="720">
        <f t="shared" si="34"/>
        <v>17300</v>
      </c>
      <c r="H48" s="720">
        <f t="shared" si="35"/>
        <v>17300</v>
      </c>
      <c r="I48" s="720">
        <f t="shared" si="36"/>
        <v>17300</v>
      </c>
      <c r="J48" s="43">
        <f>G48</f>
        <v>17300</v>
      </c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718">
        <f t="shared" si="29"/>
        <v>0</v>
      </c>
      <c r="X48" s="718">
        <f t="shared" si="30"/>
        <v>0</v>
      </c>
      <c r="Y48" s="77">
        <f t="shared" si="31"/>
        <v>0</v>
      </c>
      <c r="Z48" s="43">
        <f t="shared" si="32"/>
        <v>17300</v>
      </c>
      <c r="AA48" s="89">
        <f t="shared" si="33"/>
        <v>17300</v>
      </c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H48" s="160"/>
      <c r="CI48" s="160"/>
      <c r="CJ48" s="160"/>
      <c r="CK48" s="160"/>
      <c r="CL48" s="160"/>
      <c r="CM48" s="160"/>
    </row>
    <row r="49" spans="1:91" s="48" customFormat="1" x14ac:dyDescent="0.25">
      <c r="A49" s="436" t="s">
        <v>1112</v>
      </c>
      <c r="B49" s="437" t="s">
        <v>116</v>
      </c>
      <c r="C49" s="440"/>
      <c r="D49" s="440"/>
      <c r="E49" s="440"/>
      <c r="F49" s="440"/>
      <c r="G49" s="720">
        <f t="shared" si="34"/>
        <v>0</v>
      </c>
      <c r="H49" s="720">
        <f t="shared" si="35"/>
        <v>0</v>
      </c>
      <c r="I49" s="720">
        <f t="shared" si="36"/>
        <v>0</v>
      </c>
      <c r="J49" s="43">
        <f t="shared" si="37"/>
        <v>0</v>
      </c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718">
        <f t="shared" si="29"/>
        <v>0</v>
      </c>
      <c r="X49" s="718">
        <f t="shared" si="30"/>
        <v>0</v>
      </c>
      <c r="Y49" s="77">
        <f t="shared" si="31"/>
        <v>0</v>
      </c>
      <c r="Z49" s="43">
        <f t="shared" si="32"/>
        <v>0</v>
      </c>
      <c r="AA49" s="89">
        <f t="shared" si="33"/>
        <v>0</v>
      </c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0"/>
      <c r="BQ49" s="160"/>
      <c r="BR49" s="160"/>
      <c r="BS49" s="160"/>
      <c r="BT49" s="160"/>
      <c r="BU49" s="160"/>
      <c r="BV49" s="160"/>
      <c r="BW49" s="160"/>
      <c r="BX49" s="160"/>
      <c r="BY49" s="160"/>
      <c r="BZ49" s="160"/>
      <c r="CA49" s="160"/>
      <c r="CB49" s="160"/>
      <c r="CC49" s="160"/>
      <c r="CD49" s="160"/>
      <c r="CE49" s="160"/>
      <c r="CF49" s="160"/>
      <c r="CG49" s="160"/>
      <c r="CH49" s="160"/>
      <c r="CI49" s="160"/>
      <c r="CJ49" s="160"/>
      <c r="CK49" s="160"/>
      <c r="CL49" s="160"/>
      <c r="CM49" s="160"/>
    </row>
    <row r="50" spans="1:91" s="48" customFormat="1" ht="16.5" x14ac:dyDescent="0.3">
      <c r="A50" s="436" t="s">
        <v>639</v>
      </c>
      <c r="B50" s="438"/>
      <c r="C50" s="440">
        <v>20000</v>
      </c>
      <c r="D50" s="440"/>
      <c r="E50" s="440"/>
      <c r="F50" s="440">
        <f>-20000</f>
        <v>-20000</v>
      </c>
      <c r="G50" s="720">
        <f t="shared" si="34"/>
        <v>0</v>
      </c>
      <c r="H50" s="720">
        <f t="shared" si="35"/>
        <v>0</v>
      </c>
      <c r="I50" s="720">
        <f t="shared" si="36"/>
        <v>0</v>
      </c>
      <c r="J50" s="43">
        <f t="shared" si="37"/>
        <v>0</v>
      </c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718">
        <f t="shared" si="29"/>
        <v>0</v>
      </c>
      <c r="X50" s="718">
        <f t="shared" si="30"/>
        <v>0</v>
      </c>
      <c r="Y50" s="77">
        <f t="shared" si="31"/>
        <v>0</v>
      </c>
      <c r="Z50" s="43">
        <f t="shared" si="32"/>
        <v>0</v>
      </c>
      <c r="AA50" s="89">
        <f t="shared" si="33"/>
        <v>0</v>
      </c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160"/>
    </row>
    <row r="51" spans="1:91" s="48" customFormat="1" ht="16.5" x14ac:dyDescent="0.3">
      <c r="A51" s="436" t="s">
        <v>640</v>
      </c>
      <c r="B51" s="438"/>
      <c r="C51" s="440">
        <v>40000</v>
      </c>
      <c r="D51" s="440"/>
      <c r="E51" s="440"/>
      <c r="F51" s="440">
        <f>-40000</f>
        <v>-40000</v>
      </c>
      <c r="G51" s="720">
        <f t="shared" si="34"/>
        <v>0</v>
      </c>
      <c r="H51" s="720">
        <f t="shared" si="35"/>
        <v>0</v>
      </c>
      <c r="I51" s="720">
        <f t="shared" si="36"/>
        <v>0</v>
      </c>
      <c r="J51" s="43">
        <f t="shared" si="37"/>
        <v>0</v>
      </c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718">
        <f t="shared" si="29"/>
        <v>0</v>
      </c>
      <c r="X51" s="718">
        <f t="shared" si="30"/>
        <v>0</v>
      </c>
      <c r="Y51" s="77">
        <f t="shared" si="31"/>
        <v>0</v>
      </c>
      <c r="Z51" s="43">
        <f t="shared" si="32"/>
        <v>0</v>
      </c>
      <c r="AA51" s="89">
        <f t="shared" si="33"/>
        <v>0</v>
      </c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/>
      <c r="BS51" s="160"/>
      <c r="BT51" s="160"/>
      <c r="BU51" s="160"/>
      <c r="BV51" s="160"/>
      <c r="BW51" s="160"/>
      <c r="BX51" s="160"/>
      <c r="BY51" s="160"/>
      <c r="BZ51" s="160"/>
      <c r="CA51" s="160"/>
      <c r="CB51" s="160"/>
      <c r="CC51" s="160"/>
      <c r="CD51" s="160"/>
      <c r="CE51" s="160"/>
      <c r="CF51" s="160"/>
      <c r="CG51" s="160"/>
      <c r="CH51" s="160"/>
      <c r="CI51" s="160"/>
      <c r="CJ51" s="160"/>
      <c r="CK51" s="160"/>
      <c r="CL51" s="160"/>
      <c r="CM51" s="160"/>
    </row>
    <row r="52" spans="1:91" s="81" customFormat="1" x14ac:dyDescent="0.25">
      <c r="A52" s="184" t="s">
        <v>635</v>
      </c>
      <c r="B52" s="441"/>
      <c r="C52" s="78">
        <f t="shared" ref="C52:AA52" si="38">SUM(C46:C51)</f>
        <v>80300</v>
      </c>
      <c r="D52" s="726">
        <f t="shared" ref="D52:E52" si="39">SUM(D46:D51)</f>
        <v>0</v>
      </c>
      <c r="E52" s="726">
        <f t="shared" si="39"/>
        <v>0</v>
      </c>
      <c r="F52" s="726">
        <f t="shared" si="38"/>
        <v>-63000</v>
      </c>
      <c r="G52" s="726">
        <f t="shared" si="38"/>
        <v>17300</v>
      </c>
      <c r="H52" s="726">
        <f t="shared" si="38"/>
        <v>17300</v>
      </c>
      <c r="I52" s="726">
        <f t="shared" si="38"/>
        <v>17300</v>
      </c>
      <c r="J52" s="726">
        <f t="shared" si="38"/>
        <v>17300</v>
      </c>
      <c r="K52" s="726">
        <f t="shared" si="38"/>
        <v>0</v>
      </c>
      <c r="L52" s="726">
        <f t="shared" si="38"/>
        <v>0</v>
      </c>
      <c r="M52" s="726">
        <f t="shared" si="38"/>
        <v>0</v>
      </c>
      <c r="N52" s="726">
        <f t="shared" si="38"/>
        <v>0</v>
      </c>
      <c r="O52" s="726">
        <f t="shared" si="38"/>
        <v>0</v>
      </c>
      <c r="P52" s="726">
        <f t="shared" si="38"/>
        <v>0</v>
      </c>
      <c r="Q52" s="726">
        <f t="shared" si="38"/>
        <v>0</v>
      </c>
      <c r="R52" s="726">
        <f t="shared" si="38"/>
        <v>0</v>
      </c>
      <c r="S52" s="726">
        <f t="shared" si="38"/>
        <v>0</v>
      </c>
      <c r="T52" s="726">
        <f t="shared" si="38"/>
        <v>0</v>
      </c>
      <c r="U52" s="726">
        <f t="shared" si="38"/>
        <v>0</v>
      </c>
      <c r="V52" s="726">
        <f t="shared" si="38"/>
        <v>0</v>
      </c>
      <c r="W52" s="726">
        <f>SUM(W46:W51)</f>
        <v>0</v>
      </c>
      <c r="X52" s="726">
        <f t="shared" si="38"/>
        <v>0</v>
      </c>
      <c r="Y52" s="726">
        <f t="shared" si="38"/>
        <v>0</v>
      </c>
      <c r="Z52" s="726">
        <f t="shared" si="38"/>
        <v>17300</v>
      </c>
      <c r="AA52" s="726">
        <f t="shared" si="38"/>
        <v>17300</v>
      </c>
      <c r="AB52" s="435"/>
      <c r="AC52" s="435"/>
      <c r="AD52" s="435"/>
      <c r="AE52" s="435"/>
      <c r="AF52" s="435"/>
      <c r="AG52" s="435"/>
      <c r="AH52" s="435"/>
      <c r="AI52" s="435"/>
      <c r="AJ52" s="435"/>
      <c r="AK52" s="435"/>
      <c r="AL52" s="435"/>
      <c r="AM52" s="435"/>
      <c r="AN52" s="435"/>
      <c r="AO52" s="435"/>
      <c r="AP52" s="435"/>
      <c r="AQ52" s="435"/>
      <c r="AR52" s="435"/>
      <c r="AS52" s="435"/>
      <c r="AT52" s="435"/>
      <c r="AU52" s="435"/>
      <c r="AV52" s="435"/>
      <c r="AW52" s="435"/>
      <c r="AX52" s="435"/>
      <c r="AY52" s="435"/>
      <c r="AZ52" s="435"/>
      <c r="BA52" s="435"/>
      <c r="BB52" s="435"/>
      <c r="BC52" s="435"/>
      <c r="BD52" s="435"/>
      <c r="BE52" s="435"/>
      <c r="BF52" s="435"/>
      <c r="BG52" s="435"/>
      <c r="BH52" s="435"/>
      <c r="BI52" s="435"/>
      <c r="BJ52" s="435"/>
      <c r="BK52" s="435"/>
      <c r="BL52" s="435"/>
      <c r="BM52" s="435"/>
      <c r="BN52" s="435"/>
      <c r="BO52" s="435"/>
      <c r="BP52" s="435"/>
      <c r="BQ52" s="435"/>
      <c r="BR52" s="435"/>
      <c r="BS52" s="435"/>
      <c r="BT52" s="435"/>
      <c r="BU52" s="435"/>
      <c r="BV52" s="435"/>
      <c r="BW52" s="435"/>
      <c r="BX52" s="435"/>
      <c r="BY52" s="435"/>
      <c r="BZ52" s="435"/>
      <c r="CA52" s="435"/>
      <c r="CB52" s="435"/>
      <c r="CC52" s="435"/>
      <c r="CD52" s="435"/>
      <c r="CE52" s="435"/>
      <c r="CF52" s="435"/>
      <c r="CG52" s="435"/>
      <c r="CH52" s="435"/>
      <c r="CI52" s="435"/>
      <c r="CJ52" s="435"/>
      <c r="CK52" s="435"/>
      <c r="CL52" s="435"/>
      <c r="CM52" s="435"/>
    </row>
    <row r="53" spans="1:91" s="736" customFormat="1" x14ac:dyDescent="0.25">
      <c r="A53" s="184" t="s">
        <v>633</v>
      </c>
      <c r="B53" s="117"/>
      <c r="C53" s="726">
        <f t="shared" ref="C53:AA53" si="40">C43+C52</f>
        <v>255700</v>
      </c>
      <c r="D53" s="726">
        <f t="shared" ref="D53:E53" si="41">D43+D52</f>
        <v>0</v>
      </c>
      <c r="E53" s="726">
        <f t="shared" si="41"/>
        <v>2000000</v>
      </c>
      <c r="F53" s="726">
        <f t="shared" si="40"/>
        <v>-63000</v>
      </c>
      <c r="G53" s="726">
        <f t="shared" si="40"/>
        <v>2192700</v>
      </c>
      <c r="H53" s="726">
        <f t="shared" si="40"/>
        <v>192700</v>
      </c>
      <c r="I53" s="726">
        <f t="shared" si="40"/>
        <v>2192700</v>
      </c>
      <c r="J53" s="726">
        <f t="shared" si="40"/>
        <v>2192700</v>
      </c>
      <c r="K53" s="726">
        <f t="shared" si="40"/>
        <v>0</v>
      </c>
      <c r="L53" s="726">
        <f t="shared" si="40"/>
        <v>0</v>
      </c>
      <c r="M53" s="726">
        <f t="shared" si="40"/>
        <v>0</v>
      </c>
      <c r="N53" s="726">
        <f t="shared" si="40"/>
        <v>0</v>
      </c>
      <c r="O53" s="726">
        <f t="shared" si="40"/>
        <v>0</v>
      </c>
      <c r="P53" s="726">
        <f t="shared" si="40"/>
        <v>49800</v>
      </c>
      <c r="Q53" s="726">
        <f t="shared" si="40"/>
        <v>1999600</v>
      </c>
      <c r="R53" s="726">
        <f t="shared" si="40"/>
        <v>19600</v>
      </c>
      <c r="S53" s="726">
        <f t="shared" si="40"/>
        <v>0</v>
      </c>
      <c r="T53" s="726">
        <f t="shared" si="40"/>
        <v>0</v>
      </c>
      <c r="U53" s="726">
        <f t="shared" si="40"/>
        <v>0</v>
      </c>
      <c r="V53" s="726">
        <f t="shared" si="40"/>
        <v>0</v>
      </c>
      <c r="W53" s="726">
        <f t="shared" si="40"/>
        <v>2069000</v>
      </c>
      <c r="X53" s="726">
        <f t="shared" si="40"/>
        <v>0</v>
      </c>
      <c r="Y53" s="726">
        <f t="shared" si="40"/>
        <v>2069000</v>
      </c>
      <c r="Z53" s="726">
        <f t="shared" si="40"/>
        <v>123700</v>
      </c>
      <c r="AA53" s="726">
        <f t="shared" si="40"/>
        <v>123700</v>
      </c>
      <c r="AB53" s="747"/>
      <c r="AC53" s="747"/>
      <c r="AD53" s="747"/>
      <c r="AE53" s="747"/>
      <c r="AF53" s="747"/>
      <c r="AG53" s="747"/>
      <c r="AH53" s="747"/>
      <c r="AI53" s="747"/>
      <c r="AJ53" s="747"/>
      <c r="AK53" s="747"/>
      <c r="AL53" s="747"/>
      <c r="AM53" s="747"/>
      <c r="AN53" s="747"/>
      <c r="AO53" s="747"/>
      <c r="AP53" s="747"/>
      <c r="AQ53" s="747"/>
      <c r="AR53" s="747"/>
      <c r="AS53" s="747"/>
      <c r="AT53" s="747"/>
      <c r="AU53" s="747"/>
      <c r="AV53" s="747"/>
      <c r="AW53" s="747"/>
      <c r="AX53" s="747"/>
      <c r="AY53" s="747"/>
      <c r="AZ53" s="747"/>
      <c r="BA53" s="747"/>
      <c r="BB53" s="747"/>
      <c r="BC53" s="747"/>
      <c r="BD53" s="747"/>
      <c r="BE53" s="747"/>
      <c r="BF53" s="747"/>
      <c r="BG53" s="747"/>
      <c r="BH53" s="747"/>
      <c r="BI53" s="747"/>
      <c r="BJ53" s="747"/>
      <c r="BK53" s="747"/>
      <c r="BL53" s="747"/>
      <c r="BM53" s="747"/>
      <c r="BN53" s="747"/>
      <c r="BO53" s="747"/>
      <c r="BP53" s="747"/>
      <c r="BQ53" s="747"/>
      <c r="BR53" s="747"/>
      <c r="BS53" s="747"/>
      <c r="BT53" s="747"/>
      <c r="BU53" s="747"/>
      <c r="BV53" s="747"/>
      <c r="BW53" s="747"/>
      <c r="BX53" s="747"/>
      <c r="BY53" s="747"/>
      <c r="BZ53" s="747"/>
      <c r="CA53" s="747"/>
      <c r="CB53" s="747"/>
      <c r="CC53" s="747"/>
      <c r="CD53" s="747"/>
      <c r="CE53" s="747"/>
      <c r="CF53" s="747"/>
      <c r="CG53" s="747"/>
      <c r="CH53" s="747"/>
      <c r="CI53" s="747"/>
      <c r="CJ53" s="747"/>
      <c r="CK53" s="747"/>
      <c r="CL53" s="747"/>
      <c r="CM53" s="747"/>
    </row>
    <row r="54" spans="1:91" s="370" customFormat="1" ht="15.75" thickBot="1" x14ac:dyDescent="0.3">
      <c r="A54" s="209" t="s">
        <v>160</v>
      </c>
      <c r="B54" s="323"/>
      <c r="C54" s="324">
        <f t="shared" ref="C54:AA54" si="42">C25+C53</f>
        <v>1680300</v>
      </c>
      <c r="D54" s="324">
        <f t="shared" ref="D54:E54" si="43">D25+D53</f>
        <v>5060</v>
      </c>
      <c r="E54" s="324">
        <f t="shared" si="43"/>
        <v>2000000</v>
      </c>
      <c r="F54" s="324">
        <f t="shared" si="42"/>
        <v>-63000</v>
      </c>
      <c r="G54" s="324">
        <f t="shared" si="42"/>
        <v>3622360</v>
      </c>
      <c r="H54" s="324">
        <f t="shared" si="42"/>
        <v>1264945</v>
      </c>
      <c r="I54" s="324">
        <f t="shared" si="42"/>
        <v>2311838.3333333335</v>
      </c>
      <c r="J54" s="324">
        <f t="shared" si="42"/>
        <v>3384083.333333333</v>
      </c>
      <c r="K54" s="324">
        <f t="shared" si="42"/>
        <v>43126.29</v>
      </c>
      <c r="L54" s="324">
        <f t="shared" si="42"/>
        <v>69041.5</v>
      </c>
      <c r="M54" s="324">
        <f t="shared" si="42"/>
        <v>68665.820000000007</v>
      </c>
      <c r="N54" s="324">
        <f t="shared" si="42"/>
        <v>78884.27</v>
      </c>
      <c r="O54" s="324">
        <f t="shared" si="42"/>
        <v>69198</v>
      </c>
      <c r="P54" s="324">
        <f t="shared" si="42"/>
        <v>154726.46</v>
      </c>
      <c r="Q54" s="324">
        <f t="shared" si="42"/>
        <v>2115807.1</v>
      </c>
      <c r="R54" s="324">
        <f t="shared" si="42"/>
        <v>95318</v>
      </c>
      <c r="S54" s="324">
        <f t="shared" si="42"/>
        <v>73253</v>
      </c>
      <c r="T54" s="324">
        <f t="shared" si="42"/>
        <v>81388</v>
      </c>
      <c r="U54" s="324">
        <f t="shared" si="42"/>
        <v>0</v>
      </c>
      <c r="V54" s="324">
        <f t="shared" si="42"/>
        <v>0</v>
      </c>
      <c r="W54" s="324">
        <f t="shared" si="42"/>
        <v>2768020.44</v>
      </c>
      <c r="X54" s="324">
        <f t="shared" si="42"/>
        <v>81388</v>
      </c>
      <c r="Y54" s="324">
        <f t="shared" si="42"/>
        <v>2849408.44</v>
      </c>
      <c r="Z54" s="324">
        <f t="shared" si="42"/>
        <v>534674.89333333331</v>
      </c>
      <c r="AA54" s="324">
        <f t="shared" si="42"/>
        <v>772951.56</v>
      </c>
      <c r="AB54" s="747"/>
      <c r="AC54" s="747"/>
      <c r="AD54" s="747"/>
      <c r="AE54" s="747"/>
      <c r="AF54" s="747"/>
      <c r="AG54" s="747"/>
      <c r="AH54" s="747"/>
      <c r="AI54" s="747"/>
      <c r="AJ54" s="747"/>
      <c r="AK54" s="747"/>
      <c r="AL54" s="747"/>
      <c r="AM54" s="747"/>
      <c r="AN54" s="747"/>
      <c r="AO54" s="747"/>
      <c r="AP54" s="747"/>
      <c r="AQ54" s="747"/>
      <c r="AR54" s="747"/>
      <c r="AS54" s="747"/>
      <c r="AT54" s="747"/>
      <c r="AU54" s="747"/>
      <c r="AV54" s="747"/>
      <c r="AW54" s="747"/>
      <c r="AX54" s="747"/>
      <c r="AY54" s="747"/>
      <c r="AZ54" s="747"/>
      <c r="BA54" s="747"/>
      <c r="BB54" s="747"/>
      <c r="BC54" s="747"/>
      <c r="BD54" s="747"/>
      <c r="BE54" s="747"/>
      <c r="BF54" s="747"/>
      <c r="BG54" s="747"/>
      <c r="BH54" s="747"/>
      <c r="BI54" s="747"/>
      <c r="BJ54" s="747"/>
      <c r="BK54" s="747"/>
      <c r="BL54" s="747"/>
      <c r="BM54" s="747"/>
      <c r="BN54" s="747"/>
      <c r="BO54" s="747"/>
      <c r="BP54" s="747"/>
      <c r="BQ54" s="747"/>
      <c r="BR54" s="747"/>
      <c r="BS54" s="747"/>
      <c r="BT54" s="747"/>
      <c r="BU54" s="747"/>
      <c r="BV54" s="747"/>
      <c r="BW54" s="747"/>
      <c r="BX54" s="747"/>
      <c r="BY54" s="747"/>
      <c r="BZ54" s="747"/>
      <c r="CA54" s="747"/>
      <c r="CB54" s="747"/>
      <c r="CC54" s="747"/>
      <c r="CD54" s="747"/>
      <c r="CE54" s="747"/>
      <c r="CF54" s="747"/>
      <c r="CG54" s="747"/>
      <c r="CH54" s="747"/>
      <c r="CI54" s="747"/>
      <c r="CJ54" s="747"/>
      <c r="CK54" s="747"/>
      <c r="CL54" s="747"/>
      <c r="CM54" s="747"/>
    </row>
    <row r="55" spans="1:91" ht="15.75" thickTop="1" x14ac:dyDescent="0.25"/>
    <row r="57" spans="1:91" x14ac:dyDescent="0.25">
      <c r="A57" t="s">
        <v>354</v>
      </c>
      <c r="B57" s="30"/>
      <c r="C57" s="35"/>
      <c r="D57" s="35"/>
      <c r="E57" s="35"/>
      <c r="F57" s="35"/>
      <c r="G57" s="35"/>
      <c r="H57" s="35"/>
      <c r="I57" s="35"/>
      <c r="Z57" s="259" t="s">
        <v>357</v>
      </c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</row>
    <row r="58" spans="1:91" x14ac:dyDescent="0.25">
      <c r="B58" s="30"/>
      <c r="C58" s="35"/>
      <c r="D58" s="35"/>
      <c r="E58" s="35"/>
      <c r="F58" s="35"/>
      <c r="G58" s="35"/>
      <c r="H58" s="35"/>
      <c r="I58" s="35"/>
      <c r="Z58" s="259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</row>
    <row r="59" spans="1:91" s="951" customFormat="1" x14ac:dyDescent="0.25">
      <c r="B59" s="30"/>
      <c r="C59" s="35"/>
      <c r="D59" s="35"/>
      <c r="E59" s="35"/>
      <c r="F59" s="35"/>
      <c r="G59" s="35"/>
      <c r="H59" s="35"/>
      <c r="I59" s="35"/>
      <c r="Z59" s="743"/>
    </row>
    <row r="60" spans="1:91" x14ac:dyDescent="0.25">
      <c r="B60" s="32"/>
      <c r="C60" s="36"/>
      <c r="D60" s="36"/>
      <c r="E60" s="36"/>
      <c r="F60" s="36"/>
      <c r="G60" s="36"/>
      <c r="H60" s="36"/>
      <c r="I60" s="36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</row>
    <row r="61" spans="1:91" x14ac:dyDescent="0.25">
      <c r="A61" s="258" t="s">
        <v>355</v>
      </c>
      <c r="B61" s="14"/>
      <c r="C61" s="31"/>
      <c r="D61" s="31"/>
      <c r="E61" s="31"/>
      <c r="F61" s="31"/>
      <c r="G61" s="31"/>
      <c r="H61" s="31"/>
      <c r="I61" s="31"/>
      <c r="Z61" s="260" t="s">
        <v>358</v>
      </c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</row>
    <row r="62" spans="1:91" x14ac:dyDescent="0.25">
      <c r="A62" s="259" t="s">
        <v>356</v>
      </c>
      <c r="Z62" s="259" t="s">
        <v>359</v>
      </c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</row>
  </sheetData>
  <sortState ref="A6:B12">
    <sortCondition ref="B6:B12"/>
  </sortState>
  <mergeCells count="3">
    <mergeCell ref="A3:AA3"/>
    <mergeCell ref="A2:AA2"/>
    <mergeCell ref="A1:AA1"/>
  </mergeCells>
  <printOptions horizontalCentered="1" headings="1"/>
  <pageMargins left="0.7" right="0.2" top="1" bottom="0.25" header="0.3" footer="0.3"/>
  <pageSetup paperSize="5" scale="70" orientation="landscape" r:id="rId1"/>
  <rowBreaks count="1" manualBreakCount="1">
    <brk id="37" max="2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zoomScale="89" zoomScaleNormal="89" zoomScaleSheetLayoutView="71" workbookViewId="0">
      <pane xSplit="1" topLeftCell="Z1" activePane="topRight" state="frozen"/>
      <selection pane="topRight" activeCell="A20" sqref="A20"/>
    </sheetView>
  </sheetViews>
  <sheetFormatPr defaultRowHeight="15" outlineLevelCol="1" x14ac:dyDescent="0.25"/>
  <cols>
    <col min="1" max="1" width="46.140625" customWidth="1"/>
    <col min="2" max="2" width="12.7109375" customWidth="1"/>
    <col min="3" max="3" width="15.5703125" customWidth="1"/>
    <col min="4" max="4" width="15.5703125" style="951" customWidth="1"/>
    <col min="5" max="6" width="14.28515625" style="951" customWidth="1"/>
    <col min="7" max="7" width="13.5703125" style="951" customWidth="1"/>
    <col min="8" max="8" width="13.140625" customWidth="1"/>
    <col min="9" max="9" width="12.7109375" customWidth="1"/>
    <col min="10" max="10" width="14" customWidth="1"/>
    <col min="11" max="12" width="15.85546875" hidden="1" customWidth="1"/>
    <col min="13" max="13" width="12.7109375" customWidth="1"/>
    <col min="14" max="14" width="10" hidden="1" customWidth="1" outlineLevel="1"/>
    <col min="15" max="15" width="9.140625" hidden="1" customWidth="1" outlineLevel="1"/>
    <col min="16" max="16" width="12.7109375" hidden="1" customWidth="1" outlineLevel="1"/>
    <col min="17" max="17" width="13.5703125" hidden="1" customWidth="1" outlineLevel="1"/>
    <col min="18" max="18" width="13.28515625" hidden="1" customWidth="1" outlineLevel="1"/>
    <col min="19" max="19" width="12.5703125" hidden="1" customWidth="1" outlineLevel="1"/>
    <col min="20" max="20" width="14.7109375" hidden="1" customWidth="1" outlineLevel="1"/>
    <col min="21" max="21" width="13.5703125" hidden="1" customWidth="1" outlineLevel="1"/>
    <col min="22" max="22" width="14.28515625" hidden="1" customWidth="1" outlineLevel="1"/>
    <col min="23" max="23" width="12.42578125" hidden="1" customWidth="1" outlineLevel="1"/>
    <col min="24" max="24" width="7.140625" hidden="1" customWidth="1" outlineLevel="1"/>
    <col min="25" max="25" width="10" hidden="1" customWidth="1" outlineLevel="1"/>
    <col min="26" max="26" width="11.28515625" customWidth="1" collapsed="1"/>
    <col min="27" max="29" width="12.7109375" customWidth="1"/>
    <col min="30" max="30" width="13.5703125" customWidth="1"/>
  </cols>
  <sheetData>
    <row r="1" spans="1:30" x14ac:dyDescent="0.25">
      <c r="A1" s="1432" t="s">
        <v>352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1432"/>
      <c r="M1" s="1432"/>
      <c r="N1" s="1432"/>
      <c r="O1" s="1432"/>
      <c r="P1" s="1432"/>
      <c r="Q1" s="1432"/>
      <c r="R1" s="1432"/>
      <c r="S1" s="1432"/>
      <c r="T1" s="1432"/>
      <c r="U1" s="1432"/>
      <c r="V1" s="1432"/>
      <c r="W1" s="1432"/>
      <c r="X1" s="1432"/>
      <c r="Y1" s="1432"/>
      <c r="Z1" s="1432"/>
      <c r="AA1" s="1432"/>
      <c r="AB1" s="1432"/>
    </row>
    <row r="2" spans="1:30" x14ac:dyDescent="0.25">
      <c r="A2" s="1432" t="s">
        <v>353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1432"/>
      <c r="Y2" s="1432"/>
      <c r="Z2" s="1432"/>
      <c r="AA2" s="1432"/>
      <c r="AB2" s="1432"/>
    </row>
    <row r="3" spans="1:30" ht="15.75" thickBot="1" x14ac:dyDescent="0.3">
      <c r="A3" s="1433" t="str">
        <f>'1022-KALAHI'!A3:Y3</f>
        <v>For the Period October 1-31, 2021</v>
      </c>
      <c r="B3" s="1433"/>
      <c r="C3" s="1433"/>
      <c r="D3" s="1433"/>
      <c r="E3" s="1433"/>
      <c r="F3" s="1433"/>
      <c r="G3" s="1433"/>
      <c r="H3" s="1433"/>
      <c r="I3" s="1433"/>
      <c r="J3" s="1433"/>
      <c r="K3" s="1433"/>
      <c r="L3" s="1433"/>
      <c r="M3" s="1433"/>
      <c r="N3" s="1433"/>
      <c r="O3" s="1433"/>
      <c r="P3" s="1433"/>
      <c r="Q3" s="1433"/>
      <c r="R3" s="1433"/>
      <c r="S3" s="1433"/>
      <c r="T3" s="1433"/>
      <c r="U3" s="1433"/>
      <c r="V3" s="1433"/>
      <c r="W3" s="1433"/>
      <c r="X3" s="1433"/>
      <c r="Y3" s="1433"/>
      <c r="Z3" s="1433"/>
      <c r="AA3" s="1433"/>
      <c r="AB3" s="1433"/>
    </row>
    <row r="4" spans="1:30" ht="27" thickTop="1" x14ac:dyDescent="0.25">
      <c r="A4" s="71" t="s">
        <v>347</v>
      </c>
      <c r="B4" s="18" t="s">
        <v>2</v>
      </c>
      <c r="C4" s="18" t="s">
        <v>133</v>
      </c>
      <c r="D4" s="1073" t="s">
        <v>1204</v>
      </c>
      <c r="E4" s="1073" t="s">
        <v>1204</v>
      </c>
      <c r="F4" s="1073" t="s">
        <v>1204</v>
      </c>
      <c r="G4" s="1073" t="s">
        <v>1227</v>
      </c>
      <c r="H4" s="71" t="s">
        <v>1</v>
      </c>
      <c r="I4" s="71" t="s">
        <v>316</v>
      </c>
      <c r="J4" s="71" t="s">
        <v>314</v>
      </c>
      <c r="K4" s="23" t="s">
        <v>135</v>
      </c>
      <c r="L4" s="23"/>
      <c r="M4" s="74" t="s">
        <v>346</v>
      </c>
      <c r="N4" s="19"/>
      <c r="O4" s="19"/>
      <c r="P4" s="19"/>
      <c r="Q4" s="19"/>
      <c r="R4" s="24"/>
      <c r="S4" s="24"/>
      <c r="T4" s="24"/>
      <c r="U4" s="24"/>
      <c r="V4" s="24"/>
      <c r="W4" s="24"/>
      <c r="X4" s="24"/>
      <c r="Y4" s="24"/>
      <c r="Z4" s="74" t="s">
        <v>316</v>
      </c>
      <c r="AA4" s="74" t="s">
        <v>348</v>
      </c>
      <c r="AB4" s="74" t="s">
        <v>1</v>
      </c>
      <c r="AC4" s="74" t="s">
        <v>131</v>
      </c>
      <c r="AD4" s="74" t="s">
        <v>131</v>
      </c>
    </row>
    <row r="5" spans="1:30" x14ac:dyDescent="0.25">
      <c r="A5" s="18"/>
      <c r="B5" s="18" t="s">
        <v>3</v>
      </c>
      <c r="C5" s="18" t="s">
        <v>134</v>
      </c>
      <c r="D5" s="1009" t="s">
        <v>1329</v>
      </c>
      <c r="E5" s="1009" t="s">
        <v>1184</v>
      </c>
      <c r="F5" s="1009" t="s">
        <v>1354</v>
      </c>
      <c r="G5" s="1101">
        <v>44305</v>
      </c>
      <c r="H5" s="86" t="s">
        <v>314</v>
      </c>
      <c r="I5" s="86" t="s">
        <v>314</v>
      </c>
      <c r="J5" s="86" t="s">
        <v>315</v>
      </c>
      <c r="K5" s="23" t="s">
        <v>134</v>
      </c>
      <c r="L5" s="23" t="s">
        <v>136</v>
      </c>
      <c r="M5" s="76" t="s">
        <v>315</v>
      </c>
      <c r="N5" s="20" t="s">
        <v>0</v>
      </c>
      <c r="O5" s="20" t="s">
        <v>120</v>
      </c>
      <c r="P5" s="20" t="s">
        <v>121</v>
      </c>
      <c r="Q5" s="20" t="s">
        <v>122</v>
      </c>
      <c r="R5" s="20" t="s">
        <v>123</v>
      </c>
      <c r="S5" s="20" t="s">
        <v>124</v>
      </c>
      <c r="T5" s="20" t="s">
        <v>125</v>
      </c>
      <c r="U5" s="20" t="s">
        <v>126</v>
      </c>
      <c r="V5" s="20" t="s">
        <v>127</v>
      </c>
      <c r="W5" s="20" t="s">
        <v>128</v>
      </c>
      <c r="X5" s="20" t="s">
        <v>129</v>
      </c>
      <c r="Y5" s="20" t="s">
        <v>130</v>
      </c>
      <c r="Z5" s="76" t="s">
        <v>317</v>
      </c>
      <c r="AA5" s="76" t="s">
        <v>315</v>
      </c>
      <c r="AB5" s="76" t="s">
        <v>317</v>
      </c>
      <c r="AC5" s="76" t="s">
        <v>314</v>
      </c>
      <c r="AD5" s="76" t="s">
        <v>132</v>
      </c>
    </row>
    <row r="6" spans="1:30" x14ac:dyDescent="0.25">
      <c r="A6" s="953" t="s">
        <v>1008</v>
      </c>
      <c r="B6" s="48"/>
      <c r="C6" s="48"/>
      <c r="D6" s="869"/>
      <c r="E6" s="869"/>
      <c r="F6" s="869"/>
      <c r="G6" s="869"/>
      <c r="H6" s="48"/>
      <c r="I6" s="48"/>
      <c r="J6" s="48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8"/>
    </row>
    <row r="7" spans="1:30" x14ac:dyDescent="0.25">
      <c r="A7" s="53" t="s">
        <v>138</v>
      </c>
      <c r="B7" s="51"/>
      <c r="C7" s="48"/>
      <c r="D7" s="869"/>
      <c r="E7" s="869"/>
      <c r="F7" s="869"/>
      <c r="G7" s="869"/>
      <c r="H7" s="48"/>
      <c r="I7" s="48"/>
      <c r="J7" s="48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718"/>
      <c r="AC7" s="43"/>
      <c r="AD7" s="48"/>
    </row>
    <row r="8" spans="1:30" x14ac:dyDescent="0.25">
      <c r="A8" s="273" t="s">
        <v>513</v>
      </c>
      <c r="B8" s="46" t="s">
        <v>43</v>
      </c>
      <c r="C8" s="434">
        <f>25000-5000</f>
        <v>20000</v>
      </c>
      <c r="D8" s="434"/>
      <c r="E8" s="434"/>
      <c r="F8" s="434"/>
      <c r="G8" s="434"/>
      <c r="H8" s="52">
        <f>SUM(C8:G8)</f>
        <v>20000</v>
      </c>
      <c r="I8" s="52">
        <f>H8/12*9</f>
        <v>15000</v>
      </c>
      <c r="J8" s="52">
        <f>H8/12</f>
        <v>1666.6666666666667</v>
      </c>
      <c r="K8" s="43"/>
      <c r="L8" s="43"/>
      <c r="M8" s="43">
        <f>I8+J8</f>
        <v>16666.666666666668</v>
      </c>
      <c r="N8" s="43"/>
      <c r="O8" s="43">
        <v>1240</v>
      </c>
      <c r="P8" s="43"/>
      <c r="Q8" s="43"/>
      <c r="R8" s="43"/>
      <c r="S8" s="43"/>
      <c r="T8" s="1201">
        <v>3150</v>
      </c>
      <c r="U8" s="43">
        <v>2772</v>
      </c>
      <c r="V8" s="43"/>
      <c r="W8" s="43"/>
      <c r="X8" s="43"/>
      <c r="Y8" s="43"/>
      <c r="Z8" s="43">
        <f>P8+N8+O8+Q8+R8+S8+T8+U8+V8</f>
        <v>7162</v>
      </c>
      <c r="AA8" s="43">
        <f>W8</f>
        <v>0</v>
      </c>
      <c r="AB8" s="718">
        <f>Z8+AA8</f>
        <v>7162</v>
      </c>
      <c r="AC8" s="43">
        <f>M8-AB8</f>
        <v>9504.6666666666679</v>
      </c>
      <c r="AD8" s="89">
        <f>H8-AB8</f>
        <v>12838</v>
      </c>
    </row>
    <row r="9" spans="1:30" x14ac:dyDescent="0.25">
      <c r="A9" s="273" t="s">
        <v>44</v>
      </c>
      <c r="B9" s="46" t="s">
        <v>140</v>
      </c>
      <c r="C9" s="434">
        <v>5000</v>
      </c>
      <c r="D9" s="434"/>
      <c r="E9" s="434"/>
      <c r="F9" s="434">
        <v>5060</v>
      </c>
      <c r="G9" s="434"/>
      <c r="H9" s="720">
        <f t="shared" ref="H9:H26" si="0">SUM(C9:G9)</f>
        <v>10060</v>
      </c>
      <c r="I9" s="720">
        <f t="shared" ref="I9:I26" si="1">H9/12*9</f>
        <v>7545</v>
      </c>
      <c r="J9" s="52">
        <f t="shared" ref="J9:J16" si="2">H9/12</f>
        <v>838.33333333333337</v>
      </c>
      <c r="K9" s="43"/>
      <c r="L9" s="43"/>
      <c r="M9" s="43">
        <f t="shared" ref="M9:M16" si="3">I9+J9</f>
        <v>8383.3333333333339</v>
      </c>
      <c r="N9" s="43"/>
      <c r="O9" s="43"/>
      <c r="P9" s="43"/>
      <c r="Q9" s="43"/>
      <c r="R9" s="43"/>
      <c r="S9" s="43"/>
      <c r="T9" s="43"/>
      <c r="U9" s="43">
        <v>5000</v>
      </c>
      <c r="V9" s="43"/>
      <c r="W9" s="43"/>
      <c r="X9" s="43"/>
      <c r="Y9" s="43"/>
      <c r="Z9" s="718">
        <f t="shared" ref="Z9:Z26" si="4">P9+N9+O9+Q9+R9+S9+T9+U9+V9</f>
        <v>5000</v>
      </c>
      <c r="AA9" s="718">
        <f t="shared" ref="AA9:AA26" si="5">W9</f>
        <v>0</v>
      </c>
      <c r="AB9" s="718">
        <f t="shared" ref="AB9:AB16" si="6">Z9+AA9</f>
        <v>5000</v>
      </c>
      <c r="AC9" s="718">
        <f t="shared" ref="AC9:AC26" si="7">M9-AB9</f>
        <v>3383.3333333333339</v>
      </c>
      <c r="AD9" s="874">
        <f t="shared" ref="AD9:AD26" si="8">H9-AB9</f>
        <v>5060</v>
      </c>
    </row>
    <row r="10" spans="1:30" x14ac:dyDescent="0.25">
      <c r="A10" s="273" t="s">
        <v>50</v>
      </c>
      <c r="B10" s="46" t="s">
        <v>51</v>
      </c>
      <c r="C10" s="434">
        <v>5000</v>
      </c>
      <c r="D10" s="434"/>
      <c r="E10" s="434"/>
      <c r="F10" s="434"/>
      <c r="G10" s="434"/>
      <c r="H10" s="720">
        <f t="shared" si="0"/>
        <v>5000</v>
      </c>
      <c r="I10" s="720">
        <f t="shared" si="1"/>
        <v>3750</v>
      </c>
      <c r="J10" s="52">
        <f t="shared" si="2"/>
        <v>416.66666666666669</v>
      </c>
      <c r="K10" s="43"/>
      <c r="L10" s="43"/>
      <c r="M10" s="43">
        <f t="shared" si="3"/>
        <v>4166.666666666667</v>
      </c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718">
        <f t="shared" si="4"/>
        <v>0</v>
      </c>
      <c r="AA10" s="718">
        <f t="shared" si="5"/>
        <v>0</v>
      </c>
      <c r="AB10" s="718">
        <f t="shared" si="6"/>
        <v>0</v>
      </c>
      <c r="AC10" s="718">
        <f t="shared" si="7"/>
        <v>4166.666666666667</v>
      </c>
      <c r="AD10" s="874">
        <f t="shared" si="8"/>
        <v>5000</v>
      </c>
    </row>
    <row r="11" spans="1:30" x14ac:dyDescent="0.25">
      <c r="A11" s="273" t="s">
        <v>641</v>
      </c>
      <c r="B11" s="46" t="s">
        <v>56</v>
      </c>
      <c r="C11" s="434">
        <v>5000</v>
      </c>
      <c r="D11" s="434"/>
      <c r="E11" s="434"/>
      <c r="F11" s="434"/>
      <c r="G11" s="434"/>
      <c r="H11" s="720">
        <f t="shared" si="0"/>
        <v>5000</v>
      </c>
      <c r="I11" s="720">
        <f t="shared" si="1"/>
        <v>3750</v>
      </c>
      <c r="J11" s="52">
        <f t="shared" si="2"/>
        <v>416.66666666666669</v>
      </c>
      <c r="K11" s="43"/>
      <c r="L11" s="43"/>
      <c r="M11" s="43">
        <f t="shared" si="3"/>
        <v>4166.666666666667</v>
      </c>
      <c r="N11" s="43"/>
      <c r="O11" s="43"/>
      <c r="P11" s="43"/>
      <c r="Q11" s="43"/>
      <c r="R11" s="43">
        <v>1047.3399999999999</v>
      </c>
      <c r="S11" s="43">
        <v>301.56</v>
      </c>
      <c r="T11" s="43"/>
      <c r="U11" s="43"/>
      <c r="V11" s="43"/>
      <c r="W11" s="43"/>
      <c r="X11" s="43"/>
      <c r="Y11" s="43"/>
      <c r="Z11" s="718">
        <f t="shared" si="4"/>
        <v>1348.8999999999999</v>
      </c>
      <c r="AA11" s="718">
        <f t="shared" si="5"/>
        <v>0</v>
      </c>
      <c r="AB11" s="718">
        <f t="shared" si="6"/>
        <v>1348.8999999999999</v>
      </c>
      <c r="AC11" s="718">
        <f t="shared" si="7"/>
        <v>2817.7666666666673</v>
      </c>
      <c r="AD11" s="874">
        <f t="shared" si="8"/>
        <v>3651.1000000000004</v>
      </c>
    </row>
    <row r="12" spans="1:30" x14ac:dyDescent="0.25">
      <c r="A12" s="273" t="s">
        <v>405</v>
      </c>
      <c r="B12" s="46" t="s">
        <v>150</v>
      </c>
      <c r="C12" s="434">
        <f>25000-5000</f>
        <v>20000</v>
      </c>
      <c r="D12" s="434"/>
      <c r="E12" s="434"/>
      <c r="F12" s="434"/>
      <c r="G12" s="434"/>
      <c r="H12" s="720">
        <f t="shared" si="0"/>
        <v>20000</v>
      </c>
      <c r="I12" s="720">
        <f t="shared" si="1"/>
        <v>15000</v>
      </c>
      <c r="J12" s="52">
        <f t="shared" si="2"/>
        <v>1666.6666666666667</v>
      </c>
      <c r="K12" s="43"/>
      <c r="L12" s="43"/>
      <c r="M12" s="43">
        <f t="shared" si="3"/>
        <v>16666.666666666668</v>
      </c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718">
        <f t="shared" si="4"/>
        <v>0</v>
      </c>
      <c r="AA12" s="718">
        <f t="shared" si="5"/>
        <v>0</v>
      </c>
      <c r="AB12" s="718">
        <f t="shared" si="6"/>
        <v>0</v>
      </c>
      <c r="AC12" s="718">
        <f t="shared" si="7"/>
        <v>16666.666666666668</v>
      </c>
      <c r="AD12" s="874">
        <f t="shared" si="8"/>
        <v>20000</v>
      </c>
    </row>
    <row r="13" spans="1:30" x14ac:dyDescent="0.25">
      <c r="A13" s="273" t="s">
        <v>481</v>
      </c>
      <c r="B13" s="46" t="s">
        <v>60</v>
      </c>
      <c r="C13" s="434">
        <v>12000</v>
      </c>
      <c r="D13" s="434"/>
      <c r="E13" s="434"/>
      <c r="F13" s="434"/>
      <c r="G13" s="434"/>
      <c r="H13" s="720">
        <f t="shared" si="0"/>
        <v>12000</v>
      </c>
      <c r="I13" s="720">
        <f t="shared" si="1"/>
        <v>9000</v>
      </c>
      <c r="J13" s="52">
        <f t="shared" si="2"/>
        <v>1000</v>
      </c>
      <c r="K13" s="43"/>
      <c r="L13" s="43"/>
      <c r="M13" s="43">
        <f t="shared" si="3"/>
        <v>10000</v>
      </c>
      <c r="N13" s="43">
        <v>1000</v>
      </c>
      <c r="O13" s="43">
        <v>1000</v>
      </c>
      <c r="P13" s="43">
        <v>2000</v>
      </c>
      <c r="Q13" s="43">
        <v>1000</v>
      </c>
      <c r="R13" s="43">
        <v>1000</v>
      </c>
      <c r="S13" s="43">
        <v>1000</v>
      </c>
      <c r="T13" s="43"/>
      <c r="U13" s="43">
        <v>1000</v>
      </c>
      <c r="V13" s="43">
        <v>1000</v>
      </c>
      <c r="W13" s="718">
        <v>2000</v>
      </c>
      <c r="X13" s="43"/>
      <c r="Y13" s="43"/>
      <c r="Z13" s="718">
        <f t="shared" si="4"/>
        <v>9000</v>
      </c>
      <c r="AA13" s="718">
        <f t="shared" si="5"/>
        <v>2000</v>
      </c>
      <c r="AB13" s="718">
        <f t="shared" si="6"/>
        <v>11000</v>
      </c>
      <c r="AC13" s="718">
        <f t="shared" si="7"/>
        <v>-1000</v>
      </c>
      <c r="AD13" s="874">
        <f t="shared" si="8"/>
        <v>1000</v>
      </c>
    </row>
    <row r="14" spans="1:30" x14ac:dyDescent="0.25">
      <c r="A14" s="273" t="s">
        <v>61</v>
      </c>
      <c r="B14" s="46" t="s">
        <v>62</v>
      </c>
      <c r="C14" s="434">
        <v>12000</v>
      </c>
      <c r="D14" s="434"/>
      <c r="E14" s="434"/>
      <c r="F14" s="434"/>
      <c r="G14" s="434"/>
      <c r="H14" s="720">
        <f t="shared" si="0"/>
        <v>12000</v>
      </c>
      <c r="I14" s="720">
        <f t="shared" si="1"/>
        <v>9000</v>
      </c>
      <c r="J14" s="52">
        <f t="shared" si="2"/>
        <v>1000</v>
      </c>
      <c r="K14" s="43"/>
      <c r="L14" s="43"/>
      <c r="M14" s="43">
        <f t="shared" si="3"/>
        <v>10000</v>
      </c>
      <c r="N14" s="43">
        <v>1000</v>
      </c>
      <c r="O14" s="43">
        <v>1000</v>
      </c>
      <c r="P14" s="43">
        <v>1000</v>
      </c>
      <c r="Q14" s="43">
        <v>1000</v>
      </c>
      <c r="R14" s="43">
        <v>1000</v>
      </c>
      <c r="S14" s="43">
        <v>1000</v>
      </c>
      <c r="T14" s="43">
        <v>1000</v>
      </c>
      <c r="U14" s="43">
        <v>1000</v>
      </c>
      <c r="V14" s="43">
        <v>1000</v>
      </c>
      <c r="W14" s="43">
        <v>1000</v>
      </c>
      <c r="X14" s="43"/>
      <c r="Y14" s="43"/>
      <c r="Z14" s="718">
        <f t="shared" si="4"/>
        <v>9000</v>
      </c>
      <c r="AA14" s="718">
        <f t="shared" si="5"/>
        <v>1000</v>
      </c>
      <c r="AB14" s="718">
        <f t="shared" si="6"/>
        <v>10000</v>
      </c>
      <c r="AC14" s="718">
        <f t="shared" si="7"/>
        <v>0</v>
      </c>
      <c r="AD14" s="874">
        <f t="shared" si="8"/>
        <v>2000</v>
      </c>
    </row>
    <row r="15" spans="1:30" x14ac:dyDescent="0.25">
      <c r="A15" s="273" t="s">
        <v>69</v>
      </c>
      <c r="B15" s="46" t="s">
        <v>70</v>
      </c>
      <c r="C15" s="434">
        <v>82200</v>
      </c>
      <c r="D15" s="434"/>
      <c r="E15" s="434"/>
      <c r="F15" s="434"/>
      <c r="G15" s="434"/>
      <c r="H15" s="720">
        <f t="shared" si="0"/>
        <v>82200</v>
      </c>
      <c r="I15" s="720">
        <f t="shared" si="1"/>
        <v>61650</v>
      </c>
      <c r="J15" s="52">
        <f t="shared" si="2"/>
        <v>6850</v>
      </c>
      <c r="K15" s="43"/>
      <c r="L15" s="43"/>
      <c r="M15" s="43">
        <f t="shared" si="3"/>
        <v>68500</v>
      </c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718">
        <f t="shared" si="4"/>
        <v>0</v>
      </c>
      <c r="AA15" s="718">
        <f t="shared" si="5"/>
        <v>0</v>
      </c>
      <c r="AB15" s="718">
        <f t="shared" si="6"/>
        <v>0</v>
      </c>
      <c r="AC15" s="718">
        <f t="shared" si="7"/>
        <v>68500</v>
      </c>
      <c r="AD15" s="874">
        <f t="shared" si="8"/>
        <v>82200</v>
      </c>
    </row>
    <row r="16" spans="1:30" x14ac:dyDescent="0.25">
      <c r="A16" s="273" t="s">
        <v>226</v>
      </c>
      <c r="B16" s="46" t="s">
        <v>76</v>
      </c>
      <c r="C16" s="434">
        <f>300000+21600</f>
        <v>321600</v>
      </c>
      <c r="D16" s="434"/>
      <c r="E16" s="434"/>
      <c r="F16" s="434"/>
      <c r="G16" s="434"/>
      <c r="H16" s="720">
        <f t="shared" si="0"/>
        <v>321600</v>
      </c>
      <c r="I16" s="720">
        <f t="shared" si="1"/>
        <v>241200</v>
      </c>
      <c r="J16" s="52">
        <f t="shared" si="2"/>
        <v>26800</v>
      </c>
      <c r="K16" s="43"/>
      <c r="L16" s="43"/>
      <c r="M16" s="43">
        <f t="shared" si="3"/>
        <v>268000</v>
      </c>
      <c r="N16" s="43">
        <v>20400</v>
      </c>
      <c r="O16" s="43">
        <v>26400</v>
      </c>
      <c r="P16" s="43">
        <v>26400</v>
      </c>
      <c r="Q16" s="718">
        <v>26400</v>
      </c>
      <c r="R16" s="43">
        <v>26400</v>
      </c>
      <c r="S16" s="43">
        <v>30000</v>
      </c>
      <c r="T16" s="43">
        <v>19200</v>
      </c>
      <c r="U16" s="43">
        <v>26400</v>
      </c>
      <c r="V16" s="718">
        <v>26400</v>
      </c>
      <c r="W16" s="43">
        <v>26400</v>
      </c>
      <c r="X16" s="43"/>
      <c r="Y16" s="43"/>
      <c r="Z16" s="718">
        <f>P16+N16+O16+Q16+R16+S16+T16+U16+V16</f>
        <v>228000</v>
      </c>
      <c r="AA16" s="718">
        <f t="shared" si="5"/>
        <v>26400</v>
      </c>
      <c r="AB16" s="718">
        <f t="shared" si="6"/>
        <v>254400</v>
      </c>
      <c r="AC16" s="718">
        <f t="shared" si="7"/>
        <v>13600</v>
      </c>
      <c r="AD16" s="874">
        <f t="shared" si="8"/>
        <v>67200</v>
      </c>
    </row>
    <row r="17" spans="1:30" x14ac:dyDescent="0.25">
      <c r="A17" s="273" t="s">
        <v>642</v>
      </c>
      <c r="B17" s="46"/>
      <c r="C17" s="434"/>
      <c r="D17" s="434"/>
      <c r="E17" s="434"/>
      <c r="F17" s="434"/>
      <c r="G17" s="434"/>
      <c r="H17" s="720">
        <f t="shared" si="0"/>
        <v>0</v>
      </c>
      <c r="I17" s="720">
        <f t="shared" si="1"/>
        <v>0</v>
      </c>
      <c r="J17" s="52">
        <f t="shared" ref="J17:J25" si="9">H17/12</f>
        <v>0</v>
      </c>
      <c r="K17" s="43"/>
      <c r="L17" s="43"/>
      <c r="M17" s="43">
        <f t="shared" ref="M17:M25" si="10">I17+J17</f>
        <v>0</v>
      </c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718">
        <f t="shared" si="4"/>
        <v>0</v>
      </c>
      <c r="AA17" s="718">
        <f t="shared" si="5"/>
        <v>0</v>
      </c>
      <c r="AB17" s="718">
        <f t="shared" ref="AB17:AB26" si="11">Z17+AA17</f>
        <v>0</v>
      </c>
      <c r="AC17" s="718">
        <f t="shared" si="7"/>
        <v>0</v>
      </c>
      <c r="AD17" s="874">
        <f t="shared" si="8"/>
        <v>0</v>
      </c>
    </row>
    <row r="18" spans="1:30" x14ac:dyDescent="0.25">
      <c r="A18" s="383" t="s">
        <v>643</v>
      </c>
      <c r="B18" s="46"/>
      <c r="C18" s="434">
        <f>150000-85700</f>
        <v>64300</v>
      </c>
      <c r="D18" s="434">
        <v>95000</v>
      </c>
      <c r="E18" s="434"/>
      <c r="F18" s="434"/>
      <c r="G18" s="434"/>
      <c r="H18" s="720">
        <f t="shared" si="0"/>
        <v>159300</v>
      </c>
      <c r="I18" s="720">
        <f t="shared" si="1"/>
        <v>119475</v>
      </c>
      <c r="J18" s="52">
        <f t="shared" si="9"/>
        <v>13275</v>
      </c>
      <c r="K18" s="43"/>
      <c r="L18" s="43"/>
      <c r="M18" s="43">
        <f t="shared" si="10"/>
        <v>132750</v>
      </c>
      <c r="N18" s="43"/>
      <c r="O18" s="43"/>
      <c r="P18" s="43">
        <v>26550</v>
      </c>
      <c r="Q18" s="43"/>
      <c r="R18" s="43"/>
      <c r="S18" s="43"/>
      <c r="T18" s="43">
        <v>94850</v>
      </c>
      <c r="U18" s="43"/>
      <c r="V18" s="43"/>
      <c r="W18" s="43"/>
      <c r="X18" s="43"/>
      <c r="Y18" s="43"/>
      <c r="Z18" s="718">
        <f t="shared" si="4"/>
        <v>121400</v>
      </c>
      <c r="AA18" s="718">
        <f t="shared" si="5"/>
        <v>0</v>
      </c>
      <c r="AB18" s="718">
        <f t="shared" si="11"/>
        <v>121400</v>
      </c>
      <c r="AC18" s="718">
        <f t="shared" si="7"/>
        <v>11350</v>
      </c>
      <c r="AD18" s="874">
        <f t="shared" si="8"/>
        <v>37900</v>
      </c>
    </row>
    <row r="19" spans="1:30" s="951" customFormat="1" x14ac:dyDescent="0.25">
      <c r="A19" s="383" t="s">
        <v>1230</v>
      </c>
      <c r="B19" s="952"/>
      <c r="C19" s="434"/>
      <c r="D19" s="434"/>
      <c r="E19" s="434"/>
      <c r="F19" s="434"/>
      <c r="G19" s="434">
        <v>188000.82</v>
      </c>
      <c r="H19" s="720">
        <f t="shared" si="0"/>
        <v>188000.82</v>
      </c>
      <c r="I19" s="720">
        <f t="shared" si="1"/>
        <v>141000.61499999999</v>
      </c>
      <c r="J19" s="720"/>
      <c r="K19" s="718"/>
      <c r="L19" s="718"/>
      <c r="M19" s="718"/>
      <c r="N19" s="718"/>
      <c r="O19" s="718"/>
      <c r="P19" s="718"/>
      <c r="Q19" s="718"/>
      <c r="R19" s="718"/>
      <c r="S19" s="718"/>
      <c r="T19" s="718">
        <v>112280</v>
      </c>
      <c r="U19" s="718">
        <v>56800</v>
      </c>
      <c r="V19" s="718"/>
      <c r="W19" s="718"/>
      <c r="X19" s="718"/>
      <c r="Y19" s="718"/>
      <c r="Z19" s="718">
        <f t="shared" si="4"/>
        <v>169080</v>
      </c>
      <c r="AA19" s="718">
        <f t="shared" si="5"/>
        <v>0</v>
      </c>
      <c r="AB19" s="718">
        <f t="shared" ref="AB19:AB21" si="12">Z19+AA19</f>
        <v>169080</v>
      </c>
      <c r="AC19" s="718">
        <f t="shared" si="7"/>
        <v>-169080</v>
      </c>
      <c r="AD19" s="874">
        <f>H19-AB19</f>
        <v>18920.820000000007</v>
      </c>
    </row>
    <row r="20" spans="1:30" s="951" customFormat="1" x14ac:dyDescent="0.25">
      <c r="A20" s="383" t="s">
        <v>1229</v>
      </c>
      <c r="B20" s="952"/>
      <c r="C20" s="434"/>
      <c r="D20" s="434"/>
      <c r="E20" s="434"/>
      <c r="F20" s="434"/>
      <c r="G20" s="434">
        <v>350000</v>
      </c>
      <c r="H20" s="720">
        <f t="shared" si="0"/>
        <v>350000</v>
      </c>
      <c r="I20" s="720">
        <f t="shared" si="1"/>
        <v>262500</v>
      </c>
      <c r="J20" s="720"/>
      <c r="K20" s="718"/>
      <c r="L20" s="718"/>
      <c r="M20" s="718"/>
      <c r="N20" s="718"/>
      <c r="O20" s="718"/>
      <c r="P20" s="718"/>
      <c r="Q20" s="718"/>
      <c r="R20" s="718"/>
      <c r="S20" s="718"/>
      <c r="T20" s="718"/>
      <c r="U20" s="718"/>
      <c r="V20" s="718"/>
      <c r="W20" s="718"/>
      <c r="X20" s="718"/>
      <c r="Y20" s="718"/>
      <c r="Z20" s="718">
        <f t="shared" si="4"/>
        <v>0</v>
      </c>
      <c r="AA20" s="718">
        <f t="shared" si="5"/>
        <v>0</v>
      </c>
      <c r="AB20" s="718">
        <f t="shared" si="12"/>
        <v>0</v>
      </c>
      <c r="AC20" s="718">
        <f t="shared" si="7"/>
        <v>0</v>
      </c>
      <c r="AD20" s="874">
        <f>H20-AB20</f>
        <v>350000</v>
      </c>
    </row>
    <row r="21" spans="1:30" x14ac:dyDescent="0.25">
      <c r="A21" s="273" t="s">
        <v>644</v>
      </c>
      <c r="B21" s="46"/>
      <c r="C21" s="434"/>
      <c r="D21" s="434"/>
      <c r="E21" s="434"/>
      <c r="F21" s="434"/>
      <c r="G21" s="434"/>
      <c r="H21" s="720">
        <f t="shared" si="0"/>
        <v>0</v>
      </c>
      <c r="I21" s="720">
        <f t="shared" si="1"/>
        <v>0</v>
      </c>
      <c r="J21" s="52">
        <f t="shared" si="9"/>
        <v>0</v>
      </c>
      <c r="K21" s="43"/>
      <c r="L21" s="43"/>
      <c r="M21" s="43">
        <f t="shared" si="10"/>
        <v>0</v>
      </c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718">
        <f t="shared" si="4"/>
        <v>0</v>
      </c>
      <c r="AA21" s="718">
        <f t="shared" si="5"/>
        <v>0</v>
      </c>
      <c r="AB21" s="718">
        <f t="shared" si="12"/>
        <v>0</v>
      </c>
      <c r="AC21" s="718">
        <f t="shared" si="7"/>
        <v>0</v>
      </c>
      <c r="AD21" s="874">
        <f t="shared" si="8"/>
        <v>0</v>
      </c>
    </row>
    <row r="22" spans="1:30" x14ac:dyDescent="0.25">
      <c r="A22" s="383" t="s">
        <v>110</v>
      </c>
      <c r="B22" s="46"/>
      <c r="C22" s="434">
        <v>5000</v>
      </c>
      <c r="D22" s="434"/>
      <c r="E22" s="434"/>
      <c r="F22" s="434"/>
      <c r="G22" s="434"/>
      <c r="H22" s="720">
        <f t="shared" si="0"/>
        <v>5000</v>
      </c>
      <c r="I22" s="720">
        <f t="shared" si="1"/>
        <v>3750</v>
      </c>
      <c r="J22" s="52">
        <f t="shared" si="9"/>
        <v>416.66666666666669</v>
      </c>
      <c r="K22" s="43"/>
      <c r="L22" s="43"/>
      <c r="M22" s="43">
        <f t="shared" si="10"/>
        <v>4166.666666666667</v>
      </c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718">
        <f t="shared" si="4"/>
        <v>0</v>
      </c>
      <c r="AA22" s="718">
        <f t="shared" si="5"/>
        <v>0</v>
      </c>
      <c r="AB22" s="718">
        <f t="shared" si="11"/>
        <v>0</v>
      </c>
      <c r="AC22" s="718">
        <f t="shared" si="7"/>
        <v>4166.666666666667</v>
      </c>
      <c r="AD22" s="874">
        <f t="shared" si="8"/>
        <v>5000</v>
      </c>
    </row>
    <row r="23" spans="1:30" x14ac:dyDescent="0.25">
      <c r="A23" s="383" t="s">
        <v>390</v>
      </c>
      <c r="B23" s="46"/>
      <c r="C23" s="434">
        <v>5000</v>
      </c>
      <c r="D23" s="434"/>
      <c r="E23" s="434"/>
      <c r="F23" s="434"/>
      <c r="G23" s="434"/>
      <c r="H23" s="720">
        <f t="shared" si="0"/>
        <v>5000</v>
      </c>
      <c r="I23" s="720">
        <f t="shared" si="1"/>
        <v>3750</v>
      </c>
      <c r="J23" s="52">
        <f t="shared" si="9"/>
        <v>416.66666666666669</v>
      </c>
      <c r="K23" s="43"/>
      <c r="L23" s="43"/>
      <c r="M23" s="43">
        <f t="shared" si="10"/>
        <v>4166.666666666667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718">
        <f t="shared" si="4"/>
        <v>0</v>
      </c>
      <c r="AA23" s="718">
        <f t="shared" si="5"/>
        <v>0</v>
      </c>
      <c r="AB23" s="718">
        <f t="shared" si="11"/>
        <v>0</v>
      </c>
      <c r="AC23" s="718">
        <f t="shared" si="7"/>
        <v>4166.666666666667</v>
      </c>
      <c r="AD23" s="874">
        <f t="shared" si="8"/>
        <v>5000</v>
      </c>
    </row>
    <row r="24" spans="1:30" x14ac:dyDescent="0.25">
      <c r="A24" s="383" t="s">
        <v>428</v>
      </c>
      <c r="B24" s="46"/>
      <c r="C24" s="434"/>
      <c r="D24" s="434"/>
      <c r="E24" s="434"/>
      <c r="F24" s="434"/>
      <c r="G24" s="434"/>
      <c r="H24" s="720">
        <f t="shared" si="0"/>
        <v>0</v>
      </c>
      <c r="I24" s="720">
        <f t="shared" si="1"/>
        <v>0</v>
      </c>
      <c r="J24" s="52">
        <f t="shared" si="9"/>
        <v>0</v>
      </c>
      <c r="K24" s="43"/>
      <c r="L24" s="43"/>
      <c r="M24" s="43">
        <f t="shared" si="10"/>
        <v>0</v>
      </c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718">
        <f t="shared" si="4"/>
        <v>0</v>
      </c>
      <c r="AA24" s="718">
        <f t="shared" si="5"/>
        <v>0</v>
      </c>
      <c r="AB24" s="718">
        <f t="shared" si="11"/>
        <v>0</v>
      </c>
      <c r="AC24" s="718">
        <f t="shared" si="7"/>
        <v>0</v>
      </c>
      <c r="AD24" s="874">
        <f t="shared" si="8"/>
        <v>0</v>
      </c>
    </row>
    <row r="25" spans="1:30" x14ac:dyDescent="0.25">
      <c r="A25" s="337" t="s">
        <v>429</v>
      </c>
      <c r="B25" s="46"/>
      <c r="C25" s="434">
        <f>18500-8500</f>
        <v>10000</v>
      </c>
      <c r="D25" s="434"/>
      <c r="E25" s="434"/>
      <c r="F25" s="434"/>
      <c r="G25" s="434"/>
      <c r="H25" s="720">
        <f t="shared" si="0"/>
        <v>10000</v>
      </c>
      <c r="I25" s="720">
        <f t="shared" si="1"/>
        <v>7500</v>
      </c>
      <c r="J25" s="52">
        <f t="shared" si="9"/>
        <v>833.33333333333337</v>
      </c>
      <c r="K25" s="43"/>
      <c r="L25" s="43"/>
      <c r="M25" s="43">
        <f t="shared" si="10"/>
        <v>8333.3333333333339</v>
      </c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718">
        <f t="shared" si="4"/>
        <v>0</v>
      </c>
      <c r="AA25" s="718">
        <f t="shared" si="5"/>
        <v>0</v>
      </c>
      <c r="AB25" s="718">
        <f t="shared" si="11"/>
        <v>0</v>
      </c>
      <c r="AC25" s="718">
        <f t="shared" si="7"/>
        <v>8333.3333333333339</v>
      </c>
      <c r="AD25" s="874">
        <f t="shared" si="8"/>
        <v>10000</v>
      </c>
    </row>
    <row r="26" spans="1:30" x14ac:dyDescent="0.25">
      <c r="A26" s="45"/>
      <c r="B26" s="46"/>
      <c r="C26" s="52"/>
      <c r="D26" s="720"/>
      <c r="E26" s="720"/>
      <c r="F26" s="720"/>
      <c r="G26" s="720"/>
      <c r="H26" s="720">
        <f t="shared" si="0"/>
        <v>0</v>
      </c>
      <c r="I26" s="720">
        <f t="shared" si="1"/>
        <v>0</v>
      </c>
      <c r="J26" s="52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718">
        <f t="shared" si="4"/>
        <v>0</v>
      </c>
      <c r="AA26" s="718">
        <f t="shared" si="5"/>
        <v>0</v>
      </c>
      <c r="AB26" s="718">
        <f t="shared" si="11"/>
        <v>0</v>
      </c>
      <c r="AC26" s="718">
        <f t="shared" si="7"/>
        <v>0</v>
      </c>
      <c r="AD26" s="874">
        <f t="shared" si="8"/>
        <v>0</v>
      </c>
    </row>
    <row r="27" spans="1:30" s="300" customFormat="1" ht="15.75" x14ac:dyDescent="0.25">
      <c r="A27" s="79" t="s">
        <v>108</v>
      </c>
      <c r="B27" s="294"/>
      <c r="C27" s="78">
        <f>SUM(C8:C26)</f>
        <v>567100</v>
      </c>
      <c r="D27" s="726">
        <f t="shared" ref="D27:F27" si="13">SUM(D8:D26)</f>
        <v>95000</v>
      </c>
      <c r="E27" s="726">
        <f t="shared" si="13"/>
        <v>0</v>
      </c>
      <c r="F27" s="726">
        <f t="shared" si="13"/>
        <v>5060</v>
      </c>
      <c r="G27" s="726">
        <f>SUM(G8:G26)</f>
        <v>538000.82000000007</v>
      </c>
      <c r="H27" s="78">
        <f t="shared" ref="H27:AD27" si="14">SUM(H8:H26)</f>
        <v>1205160.82</v>
      </c>
      <c r="I27" s="78">
        <f t="shared" si="14"/>
        <v>903870.61499999999</v>
      </c>
      <c r="J27" s="78">
        <f t="shared" si="14"/>
        <v>55596.666666666664</v>
      </c>
      <c r="K27" s="78">
        <f t="shared" si="14"/>
        <v>0</v>
      </c>
      <c r="L27" s="78">
        <f t="shared" si="14"/>
        <v>0</v>
      </c>
      <c r="M27" s="78">
        <f t="shared" si="14"/>
        <v>555966.66666666663</v>
      </c>
      <c r="N27" s="78">
        <f t="shared" si="14"/>
        <v>22400</v>
      </c>
      <c r="O27" s="78">
        <f t="shared" si="14"/>
        <v>29640</v>
      </c>
      <c r="P27" s="78">
        <f t="shared" si="14"/>
        <v>55950</v>
      </c>
      <c r="Q27" s="78">
        <f t="shared" si="14"/>
        <v>28400</v>
      </c>
      <c r="R27" s="78">
        <f t="shared" si="14"/>
        <v>29447.34</v>
      </c>
      <c r="S27" s="78">
        <f t="shared" si="14"/>
        <v>32301.56</v>
      </c>
      <c r="T27" s="78">
        <f t="shared" si="14"/>
        <v>230480</v>
      </c>
      <c r="U27" s="78">
        <f t="shared" si="14"/>
        <v>92972</v>
      </c>
      <c r="V27" s="78">
        <f t="shared" si="14"/>
        <v>28400</v>
      </c>
      <c r="W27" s="78">
        <f t="shared" si="14"/>
        <v>29400</v>
      </c>
      <c r="X27" s="78">
        <f t="shared" si="14"/>
        <v>0</v>
      </c>
      <c r="Y27" s="78">
        <f t="shared" si="14"/>
        <v>0</v>
      </c>
      <c r="Z27" s="78">
        <f t="shared" si="14"/>
        <v>549990.9</v>
      </c>
      <c r="AA27" s="78">
        <f t="shared" si="14"/>
        <v>29400</v>
      </c>
      <c r="AB27" s="78">
        <f t="shared" si="14"/>
        <v>579390.9</v>
      </c>
      <c r="AC27" s="78">
        <f t="shared" si="14"/>
        <v>-23424.23333333333</v>
      </c>
      <c r="AD27" s="78">
        <f t="shared" si="14"/>
        <v>625769.92000000004</v>
      </c>
    </row>
    <row r="28" spans="1:30" s="21" customFormat="1" x14ac:dyDescent="0.25">
      <c r="A28" s="111" t="s">
        <v>109</v>
      </c>
      <c r="B28" s="150"/>
      <c r="C28" s="188"/>
      <c r="D28" s="937"/>
      <c r="E28" s="937"/>
      <c r="F28" s="937"/>
      <c r="G28" s="937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</row>
    <row r="29" spans="1:30" s="21" customFormat="1" x14ac:dyDescent="0.25">
      <c r="A29" s="1102" t="s">
        <v>320</v>
      </c>
      <c r="B29" s="293"/>
      <c r="C29" s="229"/>
      <c r="D29" s="693"/>
      <c r="E29" s="693"/>
      <c r="F29" s="693"/>
      <c r="G29" s="693"/>
      <c r="H29" s="720">
        <f t="shared" ref="H29:H31" si="15">SUM(C29:E29)+G29</f>
        <v>0</v>
      </c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718">
        <f t="shared" ref="Z29:Z31" si="16">P29+N29+O29+Q29+R29+S29+T29+U29+V29</f>
        <v>0</v>
      </c>
      <c r="AA29" s="718">
        <f t="shared" ref="AA29:AA31" si="17">W29</f>
        <v>0</v>
      </c>
      <c r="AB29" s="229"/>
      <c r="AC29" s="229"/>
      <c r="AD29" s="229"/>
    </row>
    <row r="30" spans="1:30" s="21" customFormat="1" x14ac:dyDescent="0.25">
      <c r="A30" s="871" t="s">
        <v>1113</v>
      </c>
      <c r="B30" s="293"/>
      <c r="C30" s="229">
        <v>1000000</v>
      </c>
      <c r="D30" s="693"/>
      <c r="E30" s="693"/>
      <c r="F30" s="693"/>
      <c r="G30" s="693"/>
      <c r="H30" s="720">
        <f t="shared" si="15"/>
        <v>1000000</v>
      </c>
      <c r="I30" s="52">
        <f>H30</f>
        <v>1000000</v>
      </c>
      <c r="J30" s="52">
        <f>I30</f>
        <v>1000000</v>
      </c>
      <c r="K30" s="40"/>
      <c r="L30" s="40"/>
      <c r="M30" s="40">
        <f>H30</f>
        <v>1000000</v>
      </c>
      <c r="N30" s="229"/>
      <c r="O30" s="229"/>
      <c r="P30" s="229"/>
      <c r="Q30" s="229"/>
      <c r="R30" s="229">
        <v>741000</v>
      </c>
      <c r="S30" s="229"/>
      <c r="T30" s="1170">
        <v>173650</v>
      </c>
      <c r="U30" s="229"/>
      <c r="V30" s="229">
        <v>85200</v>
      </c>
      <c r="W30" s="229"/>
      <c r="X30" s="229"/>
      <c r="Y30" s="229"/>
      <c r="Z30" s="718">
        <f t="shared" si="16"/>
        <v>999850</v>
      </c>
      <c r="AA30" s="718">
        <f t="shared" si="17"/>
        <v>0</v>
      </c>
      <c r="AB30" s="40">
        <f t="shared" ref="AB30:AB31" si="18">Z30+AA30</f>
        <v>999850</v>
      </c>
      <c r="AC30" s="718">
        <f t="shared" ref="AC30:AC31" si="19">M30-AB30</f>
        <v>150</v>
      </c>
      <c r="AD30" s="874">
        <f t="shared" ref="AD30:AD31" si="20">H30-AB30</f>
        <v>150</v>
      </c>
    </row>
    <row r="31" spans="1:30" s="21" customFormat="1" x14ac:dyDescent="0.25">
      <c r="A31" s="871" t="s">
        <v>1114</v>
      </c>
      <c r="B31" s="293"/>
      <c r="C31" s="229">
        <v>4384</v>
      </c>
      <c r="D31" s="693"/>
      <c r="E31" s="693">
        <f>-4384</f>
        <v>-4384</v>
      </c>
      <c r="F31" s="693"/>
      <c r="G31" s="693"/>
      <c r="H31" s="720">
        <f t="shared" si="15"/>
        <v>0</v>
      </c>
      <c r="I31" s="52">
        <f>H31</f>
        <v>0</v>
      </c>
      <c r="J31" s="52">
        <f t="shared" ref="J31" si="21">H31/12</f>
        <v>0</v>
      </c>
      <c r="K31" s="40"/>
      <c r="L31" s="40"/>
      <c r="M31" s="40">
        <f t="shared" ref="M31" si="22">I31+J31</f>
        <v>0</v>
      </c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718">
        <f t="shared" si="16"/>
        <v>0</v>
      </c>
      <c r="AA31" s="718">
        <f t="shared" si="17"/>
        <v>0</v>
      </c>
      <c r="AB31" s="40">
        <f t="shared" si="18"/>
        <v>0</v>
      </c>
      <c r="AC31" s="718">
        <f t="shared" si="19"/>
        <v>0</v>
      </c>
      <c r="AD31" s="874">
        <f t="shared" si="20"/>
        <v>0</v>
      </c>
    </row>
    <row r="32" spans="1:30" s="995" customFormat="1" x14ac:dyDescent="0.25">
      <c r="A32" s="875" t="s">
        <v>333</v>
      </c>
      <c r="B32" s="442"/>
      <c r="C32" s="393">
        <f>SUM(C30:C31)</f>
        <v>1004384</v>
      </c>
      <c r="D32" s="393">
        <f>SUM(D30:D31)</f>
        <v>0</v>
      </c>
      <c r="E32" s="393">
        <f t="shared" ref="E32:H32" si="23">SUM(E30:E31)</f>
        <v>-4384</v>
      </c>
      <c r="F32" s="393">
        <f t="shared" si="23"/>
        <v>0</v>
      </c>
      <c r="G32" s="393">
        <f t="shared" si="23"/>
        <v>0</v>
      </c>
      <c r="H32" s="393">
        <f t="shared" si="23"/>
        <v>1000000</v>
      </c>
      <c r="I32" s="393">
        <f t="shared" ref="I32:AD32" si="24">SUM(I30:I31)</f>
        <v>1000000</v>
      </c>
      <c r="J32" s="393">
        <f t="shared" si="24"/>
        <v>1000000</v>
      </c>
      <c r="K32" s="393">
        <f t="shared" si="24"/>
        <v>0</v>
      </c>
      <c r="L32" s="393">
        <f t="shared" si="24"/>
        <v>0</v>
      </c>
      <c r="M32" s="393">
        <f t="shared" si="24"/>
        <v>1000000</v>
      </c>
      <c r="N32" s="393">
        <f t="shared" si="24"/>
        <v>0</v>
      </c>
      <c r="O32" s="393">
        <f t="shared" si="24"/>
        <v>0</v>
      </c>
      <c r="P32" s="393">
        <f t="shared" si="24"/>
        <v>0</v>
      </c>
      <c r="Q32" s="393">
        <f t="shared" si="24"/>
        <v>0</v>
      </c>
      <c r="R32" s="393">
        <f t="shared" si="24"/>
        <v>741000</v>
      </c>
      <c r="S32" s="393">
        <f t="shared" si="24"/>
        <v>0</v>
      </c>
      <c r="T32" s="393">
        <f t="shared" si="24"/>
        <v>173650</v>
      </c>
      <c r="U32" s="393">
        <f t="shared" si="24"/>
        <v>0</v>
      </c>
      <c r="V32" s="393">
        <f>SUM(V29:V31)</f>
        <v>85200</v>
      </c>
      <c r="W32" s="393">
        <f t="shared" si="24"/>
        <v>0</v>
      </c>
      <c r="X32" s="393">
        <f t="shared" si="24"/>
        <v>0</v>
      </c>
      <c r="Y32" s="393">
        <f t="shared" si="24"/>
        <v>0</v>
      </c>
      <c r="Z32" s="393">
        <f t="shared" si="24"/>
        <v>999850</v>
      </c>
      <c r="AA32" s="393">
        <f t="shared" si="24"/>
        <v>0</v>
      </c>
      <c r="AB32" s="393">
        <f t="shared" si="24"/>
        <v>999850</v>
      </c>
      <c r="AC32" s="393">
        <f>SUM(AC30:AC31)</f>
        <v>150</v>
      </c>
      <c r="AD32" s="393">
        <f t="shared" si="24"/>
        <v>150</v>
      </c>
    </row>
    <row r="33" spans="1:30" s="987" customFormat="1" x14ac:dyDescent="0.25">
      <c r="A33" s="875" t="s">
        <v>319</v>
      </c>
      <c r="B33" s="877"/>
      <c r="C33" s="693"/>
      <c r="D33" s="693"/>
      <c r="E33" s="693"/>
      <c r="F33" s="693"/>
      <c r="G33" s="693"/>
      <c r="H33" s="720"/>
      <c r="I33" s="693"/>
      <c r="J33" s="693"/>
      <c r="K33" s="693"/>
      <c r="L33" s="693"/>
      <c r="M33" s="693"/>
      <c r="N33" s="693"/>
      <c r="O33" s="693"/>
      <c r="P33" s="693"/>
      <c r="Q33" s="693"/>
      <c r="R33" s="693"/>
      <c r="S33" s="693"/>
      <c r="T33" s="693"/>
      <c r="U33" s="693"/>
      <c r="V33" s="693"/>
      <c r="W33" s="693"/>
      <c r="X33" s="693"/>
      <c r="Y33" s="693"/>
      <c r="Z33" s="693"/>
      <c r="AA33" s="693"/>
      <c r="AB33" s="693"/>
      <c r="AC33" s="693"/>
      <c r="AD33" s="693"/>
    </row>
    <row r="34" spans="1:30" s="987" customFormat="1" ht="26.25" x14ac:dyDescent="0.25">
      <c r="A34" s="1103" t="s">
        <v>1231</v>
      </c>
      <c r="B34" s="877"/>
      <c r="C34" s="693"/>
      <c r="D34" s="693"/>
      <c r="E34" s="693"/>
      <c r="F34" s="693"/>
      <c r="G34" s="693">
        <v>280000</v>
      </c>
      <c r="H34" s="720">
        <f t="shared" ref="H34" si="25">SUM(C34:E34)+G34</f>
        <v>280000</v>
      </c>
      <c r="I34" s="693">
        <f>H34</f>
        <v>280000</v>
      </c>
      <c r="J34" s="720">
        <f>I34</f>
        <v>280000</v>
      </c>
      <c r="K34" s="989"/>
      <c r="L34" s="989"/>
      <c r="M34" s="989">
        <f>H34</f>
        <v>280000</v>
      </c>
      <c r="N34" s="693"/>
      <c r="O34" s="693"/>
      <c r="P34" s="693"/>
      <c r="Q34" s="693"/>
      <c r="R34" s="693"/>
      <c r="S34" s="693"/>
      <c r="T34" s="693"/>
      <c r="U34" s="693"/>
      <c r="V34" s="693"/>
      <c r="W34" s="693"/>
      <c r="X34" s="693"/>
      <c r="Y34" s="693"/>
      <c r="Z34" s="718">
        <f t="shared" ref="Z34" si="26">P34+N34+O34+Q34+R34+S34+T34+U34+V34</f>
        <v>0</v>
      </c>
      <c r="AA34" s="718">
        <f t="shared" ref="AA34" si="27">W34</f>
        <v>0</v>
      </c>
      <c r="AB34" s="989">
        <f t="shared" ref="AB34" si="28">Z34+AA34</f>
        <v>0</v>
      </c>
      <c r="AC34" s="718">
        <f t="shared" ref="AC34" si="29">M34-AB34</f>
        <v>280000</v>
      </c>
      <c r="AD34" s="874">
        <f t="shared" ref="AD34" si="30">H34-AB34</f>
        <v>280000</v>
      </c>
    </row>
    <row r="35" spans="1:30" s="987" customFormat="1" x14ac:dyDescent="0.25">
      <c r="A35" s="875" t="s">
        <v>718</v>
      </c>
      <c r="B35" s="877"/>
      <c r="C35" s="393">
        <f>SUM(C34)</f>
        <v>0</v>
      </c>
      <c r="D35" s="393">
        <f>SUM(D34)</f>
        <v>0</v>
      </c>
      <c r="E35" s="393">
        <f t="shared" ref="E35:G35" si="31">SUM(E34)</f>
        <v>0</v>
      </c>
      <c r="F35" s="393">
        <f t="shared" si="31"/>
        <v>0</v>
      </c>
      <c r="G35" s="393">
        <f t="shared" si="31"/>
        <v>280000</v>
      </c>
      <c r="H35" s="393">
        <f t="shared" ref="H35:AD35" si="32">SUM(H34)</f>
        <v>280000</v>
      </c>
      <c r="I35" s="393">
        <f t="shared" si="32"/>
        <v>280000</v>
      </c>
      <c r="J35" s="393">
        <f t="shared" si="32"/>
        <v>280000</v>
      </c>
      <c r="K35" s="393">
        <f t="shared" si="32"/>
        <v>0</v>
      </c>
      <c r="L35" s="393">
        <f t="shared" si="32"/>
        <v>0</v>
      </c>
      <c r="M35" s="393">
        <f t="shared" si="32"/>
        <v>280000</v>
      </c>
      <c r="N35" s="393">
        <f t="shared" si="32"/>
        <v>0</v>
      </c>
      <c r="O35" s="393">
        <f t="shared" si="32"/>
        <v>0</v>
      </c>
      <c r="P35" s="393">
        <f t="shared" si="32"/>
        <v>0</v>
      </c>
      <c r="Q35" s="393">
        <f t="shared" si="32"/>
        <v>0</v>
      </c>
      <c r="R35" s="393">
        <f t="shared" si="32"/>
        <v>0</v>
      </c>
      <c r="S35" s="393">
        <f t="shared" si="32"/>
        <v>0</v>
      </c>
      <c r="T35" s="393">
        <f t="shared" si="32"/>
        <v>0</v>
      </c>
      <c r="U35" s="393">
        <f t="shared" si="32"/>
        <v>0</v>
      </c>
      <c r="V35" s="393">
        <f t="shared" si="32"/>
        <v>0</v>
      </c>
      <c r="W35" s="393">
        <f t="shared" si="32"/>
        <v>0</v>
      </c>
      <c r="X35" s="393">
        <f t="shared" si="32"/>
        <v>0</v>
      </c>
      <c r="Y35" s="393">
        <f t="shared" si="32"/>
        <v>0</v>
      </c>
      <c r="Z35" s="718">
        <f t="shared" ref="Z35" si="33">P35+N35+O35+Q35+R35+S35+T35+U35</f>
        <v>0</v>
      </c>
      <c r="AA35" s="718">
        <f t="shared" ref="AA35" si="34">V35</f>
        <v>0</v>
      </c>
      <c r="AB35" s="393">
        <f t="shared" si="32"/>
        <v>0</v>
      </c>
      <c r="AC35" s="393">
        <f t="shared" si="32"/>
        <v>280000</v>
      </c>
      <c r="AD35" s="393">
        <f t="shared" si="32"/>
        <v>280000</v>
      </c>
    </row>
    <row r="36" spans="1:30" s="300" customFormat="1" x14ac:dyDescent="0.25">
      <c r="A36" s="53" t="s">
        <v>298</v>
      </c>
      <c r="B36" s="442"/>
      <c r="C36" s="393">
        <f>C32+C35</f>
        <v>1004384</v>
      </c>
      <c r="D36" s="393">
        <f>D32+D35</f>
        <v>0</v>
      </c>
      <c r="E36" s="393">
        <f t="shared" ref="E36:AD36" si="35">E32+E35</f>
        <v>-4384</v>
      </c>
      <c r="F36" s="393">
        <f t="shared" ref="F36:G36" si="36">F32+F35</f>
        <v>0</v>
      </c>
      <c r="G36" s="393">
        <f t="shared" si="36"/>
        <v>280000</v>
      </c>
      <c r="H36" s="393">
        <f t="shared" si="35"/>
        <v>1280000</v>
      </c>
      <c r="I36" s="393">
        <f t="shared" si="35"/>
        <v>1280000</v>
      </c>
      <c r="J36" s="393">
        <f t="shared" si="35"/>
        <v>1280000</v>
      </c>
      <c r="K36" s="393">
        <f t="shared" si="35"/>
        <v>0</v>
      </c>
      <c r="L36" s="393">
        <f t="shared" si="35"/>
        <v>0</v>
      </c>
      <c r="M36" s="393">
        <f t="shared" si="35"/>
        <v>1280000</v>
      </c>
      <c r="N36" s="393">
        <f t="shared" si="35"/>
        <v>0</v>
      </c>
      <c r="O36" s="393">
        <f t="shared" si="35"/>
        <v>0</v>
      </c>
      <c r="P36" s="393">
        <f t="shared" si="35"/>
        <v>0</v>
      </c>
      <c r="Q36" s="393">
        <f t="shared" si="35"/>
        <v>0</v>
      </c>
      <c r="R36" s="393">
        <f t="shared" si="35"/>
        <v>741000</v>
      </c>
      <c r="S36" s="393">
        <f t="shared" si="35"/>
        <v>0</v>
      </c>
      <c r="T36" s="393">
        <f t="shared" si="35"/>
        <v>173650</v>
      </c>
      <c r="U36" s="393">
        <f t="shared" si="35"/>
        <v>0</v>
      </c>
      <c r="V36" s="393">
        <f t="shared" si="35"/>
        <v>85200</v>
      </c>
      <c r="W36" s="393">
        <f t="shared" si="35"/>
        <v>0</v>
      </c>
      <c r="X36" s="393">
        <f t="shared" si="35"/>
        <v>0</v>
      </c>
      <c r="Y36" s="393">
        <f t="shared" si="35"/>
        <v>0</v>
      </c>
      <c r="Z36" s="393">
        <f>Z32+Z35</f>
        <v>999850</v>
      </c>
      <c r="AA36" s="393">
        <f t="shared" si="35"/>
        <v>0</v>
      </c>
      <c r="AB36" s="393">
        <f t="shared" si="35"/>
        <v>999850</v>
      </c>
      <c r="AC36" s="393">
        <f t="shared" si="35"/>
        <v>280150</v>
      </c>
      <c r="AD36" s="393">
        <f t="shared" si="35"/>
        <v>280150</v>
      </c>
    </row>
    <row r="37" spans="1:30" s="300" customFormat="1" ht="16.5" thickBot="1" x14ac:dyDescent="0.3">
      <c r="A37" s="174" t="s">
        <v>303</v>
      </c>
      <c r="B37" s="404"/>
      <c r="C37" s="324">
        <f>C27+C36</f>
        <v>1571484</v>
      </c>
      <c r="D37" s="324">
        <f>D27+D36</f>
        <v>95000</v>
      </c>
      <c r="E37" s="324">
        <f t="shared" ref="E37:AD37" si="37">E27+E36</f>
        <v>-4384</v>
      </c>
      <c r="F37" s="324">
        <f t="shared" ref="F37:G37" si="38">F27+F36</f>
        <v>5060</v>
      </c>
      <c r="G37" s="324">
        <f t="shared" si="38"/>
        <v>818000.82000000007</v>
      </c>
      <c r="H37" s="324">
        <f t="shared" si="37"/>
        <v>2485160.8200000003</v>
      </c>
      <c r="I37" s="324">
        <f t="shared" si="37"/>
        <v>2183870.6150000002</v>
      </c>
      <c r="J37" s="324">
        <f t="shared" si="37"/>
        <v>1335596.6666666667</v>
      </c>
      <c r="K37" s="324">
        <f t="shared" si="37"/>
        <v>0</v>
      </c>
      <c r="L37" s="324">
        <f t="shared" si="37"/>
        <v>0</v>
      </c>
      <c r="M37" s="324">
        <f t="shared" si="37"/>
        <v>1835966.6666666665</v>
      </c>
      <c r="N37" s="324">
        <f t="shared" si="37"/>
        <v>22400</v>
      </c>
      <c r="O37" s="324">
        <f t="shared" si="37"/>
        <v>29640</v>
      </c>
      <c r="P37" s="324">
        <f t="shared" si="37"/>
        <v>55950</v>
      </c>
      <c r="Q37" s="324">
        <f t="shared" si="37"/>
        <v>28400</v>
      </c>
      <c r="R37" s="324">
        <f t="shared" si="37"/>
        <v>770447.34</v>
      </c>
      <c r="S37" s="324">
        <f t="shared" si="37"/>
        <v>32301.56</v>
      </c>
      <c r="T37" s="324">
        <f t="shared" si="37"/>
        <v>404130</v>
      </c>
      <c r="U37" s="324">
        <f t="shared" si="37"/>
        <v>92972</v>
      </c>
      <c r="V37" s="324">
        <f t="shared" si="37"/>
        <v>113600</v>
      </c>
      <c r="W37" s="324">
        <f t="shared" si="37"/>
        <v>29400</v>
      </c>
      <c r="X37" s="324">
        <f t="shared" si="37"/>
        <v>0</v>
      </c>
      <c r="Y37" s="324">
        <f t="shared" si="37"/>
        <v>0</v>
      </c>
      <c r="Z37" s="324">
        <f t="shared" si="37"/>
        <v>1549840.9</v>
      </c>
      <c r="AA37" s="324">
        <f t="shared" si="37"/>
        <v>29400</v>
      </c>
      <c r="AB37" s="324">
        <f t="shared" si="37"/>
        <v>1579240.9</v>
      </c>
      <c r="AC37" s="324">
        <f t="shared" si="37"/>
        <v>256725.76666666666</v>
      </c>
      <c r="AD37" s="324">
        <f t="shared" si="37"/>
        <v>905919.92</v>
      </c>
    </row>
    <row r="38" spans="1:30" ht="15.75" thickTop="1" x14ac:dyDescent="0.25"/>
    <row r="40" spans="1:30" x14ac:dyDescent="0.25">
      <c r="A40" t="s">
        <v>354</v>
      </c>
      <c r="B40" s="30"/>
      <c r="C40" s="35"/>
      <c r="D40" s="35"/>
      <c r="E40" s="35"/>
      <c r="F40" s="35"/>
      <c r="G40" s="35"/>
      <c r="H40" s="35"/>
      <c r="I40" s="35"/>
      <c r="J40" s="35"/>
      <c r="AC40" s="259" t="s">
        <v>357</v>
      </c>
    </row>
    <row r="41" spans="1:30" s="951" customFormat="1" x14ac:dyDescent="0.25">
      <c r="B41" s="30"/>
      <c r="C41" s="35"/>
      <c r="D41" s="35"/>
      <c r="E41" s="35"/>
      <c r="F41" s="35"/>
      <c r="G41" s="35"/>
      <c r="H41" s="35"/>
      <c r="I41" s="35"/>
      <c r="J41" s="35"/>
      <c r="AC41" s="743"/>
    </row>
    <row r="42" spans="1:30" s="951" customFormat="1" x14ac:dyDescent="0.25">
      <c r="B42" s="30"/>
      <c r="C42" s="35"/>
      <c r="D42" s="35"/>
      <c r="E42" s="35"/>
      <c r="F42" s="35"/>
      <c r="G42" s="35"/>
      <c r="H42" s="35"/>
      <c r="I42" s="35"/>
      <c r="J42" s="35"/>
      <c r="AC42" s="743"/>
    </row>
    <row r="43" spans="1:30" x14ac:dyDescent="0.25">
      <c r="B43" s="32"/>
      <c r="C43" s="36"/>
      <c r="D43" s="36"/>
      <c r="E43" s="36"/>
      <c r="F43" s="36"/>
      <c r="G43" s="36"/>
      <c r="H43" s="36"/>
      <c r="I43" s="36"/>
      <c r="J43" s="36"/>
    </row>
    <row r="44" spans="1:30" x14ac:dyDescent="0.25">
      <c r="A44" s="258" t="s">
        <v>355</v>
      </c>
      <c r="B44" s="14"/>
      <c r="C44" s="31"/>
      <c r="D44" s="31"/>
      <c r="E44" s="31"/>
      <c r="F44" s="31"/>
      <c r="G44" s="31"/>
      <c r="H44" s="31"/>
      <c r="I44" s="31"/>
      <c r="J44" s="31"/>
      <c r="AC44" s="260" t="s">
        <v>358</v>
      </c>
    </row>
    <row r="45" spans="1:30" x14ac:dyDescent="0.25">
      <c r="A45" s="259" t="s">
        <v>356</v>
      </c>
      <c r="AC45" s="259" t="s">
        <v>359</v>
      </c>
    </row>
  </sheetData>
  <mergeCells count="3">
    <mergeCell ref="A1:AB1"/>
    <mergeCell ref="A2:AB2"/>
    <mergeCell ref="A3:AB3"/>
  </mergeCells>
  <printOptions horizontalCentered="1"/>
  <pageMargins left="0.95" right="0.2" top="0.75" bottom="0.25" header="0.3" footer="0.3"/>
  <pageSetup paperSize="5" scale="63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829"/>
  <sheetViews>
    <sheetView view="pageBreakPreview" zoomScaleNormal="82" zoomScaleSheetLayoutView="100" workbookViewId="0">
      <pane xSplit="1" ySplit="6" topLeftCell="AA129" activePane="bottomRight" state="frozen"/>
      <selection pane="topRight" activeCell="B1" sqref="B1"/>
      <selection pane="bottomLeft" activeCell="A4" sqref="A4"/>
      <selection pane="bottomRight" activeCell="X132" sqref="X132"/>
    </sheetView>
  </sheetViews>
  <sheetFormatPr defaultRowHeight="15" outlineLevelCol="1" x14ac:dyDescent="0.25"/>
  <cols>
    <col min="1" max="1" width="38.7109375" style="21" customWidth="1"/>
    <col min="2" max="2" width="12.28515625" style="21" customWidth="1"/>
    <col min="3" max="3" width="15" style="303" customWidth="1"/>
    <col min="4" max="4" width="11.5703125" style="303" customWidth="1"/>
    <col min="5" max="5" width="13.7109375" style="1245" customWidth="1"/>
    <col min="6" max="6" width="14" style="303" customWidth="1"/>
    <col min="7" max="7" width="12.5703125" style="303" customWidth="1"/>
    <col min="8" max="8" width="13.5703125" style="1018" customWidth="1"/>
    <col min="9" max="9" width="12.5703125" style="1018" customWidth="1"/>
    <col min="10" max="10" width="13" style="1018" customWidth="1"/>
    <col min="11" max="11" width="12.7109375" style="303" customWidth="1"/>
    <col min="12" max="12" width="13" style="21" customWidth="1"/>
    <col min="13" max="13" width="13.5703125" style="21" customWidth="1"/>
    <col min="14" max="14" width="15.7109375" style="21" customWidth="1"/>
    <col min="15" max="15" width="13.42578125" style="288" hidden="1" customWidth="1" outlineLevel="1"/>
    <col min="16" max="16" width="12.7109375" style="288" hidden="1" customWidth="1" outlineLevel="1"/>
    <col min="17" max="17" width="16.85546875" style="288" hidden="1" customWidth="1" outlineLevel="1"/>
    <col min="18" max="18" width="12.5703125" style="288" hidden="1" customWidth="1" outlineLevel="1"/>
    <col min="19" max="19" width="12.7109375" style="288" hidden="1" customWidth="1" outlineLevel="1"/>
    <col min="20" max="20" width="16" style="288" hidden="1" customWidth="1" outlineLevel="1"/>
    <col min="21" max="21" width="14.28515625" style="288" hidden="1" customWidth="1" outlineLevel="1"/>
    <col min="22" max="22" width="12.28515625" style="288" hidden="1" customWidth="1" outlineLevel="1"/>
    <col min="23" max="23" width="13.140625" style="288" hidden="1" customWidth="1" outlineLevel="1"/>
    <col min="24" max="24" width="11.42578125" style="288" hidden="1" customWidth="1" outlineLevel="1"/>
    <col min="25" max="25" width="9.5703125" style="288" hidden="1" customWidth="1" outlineLevel="1"/>
    <col min="26" max="26" width="14.140625" style="288" hidden="1" customWidth="1" outlineLevel="1"/>
    <col min="27" max="27" width="13.5703125" style="288" customWidth="1" collapsed="1"/>
    <col min="28" max="28" width="11.42578125" style="288" customWidth="1"/>
    <col min="29" max="29" width="13" style="288" customWidth="1"/>
    <col min="30" max="30" width="13.28515625" style="288" customWidth="1"/>
    <col min="31" max="31" width="14.28515625" style="288" customWidth="1"/>
    <col min="32" max="40" width="12.7109375" style="21" customWidth="1"/>
    <col min="41" max="16384" width="9.140625" style="21"/>
  </cols>
  <sheetData>
    <row r="1" spans="1:31" x14ac:dyDescent="0.25">
      <c r="A1" s="1432" t="s">
        <v>352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1432"/>
      <c r="M1" s="1432"/>
      <c r="N1" s="1432"/>
      <c r="O1" s="1432"/>
      <c r="P1" s="1432"/>
      <c r="Q1" s="1432"/>
      <c r="R1" s="1432"/>
      <c r="S1" s="1432"/>
      <c r="T1" s="1432"/>
      <c r="U1" s="1432"/>
      <c r="V1" s="1432"/>
      <c r="W1" s="1432"/>
      <c r="X1" s="1432"/>
      <c r="Y1" s="1432"/>
      <c r="Z1" s="1432"/>
      <c r="AA1" s="1432"/>
      <c r="AB1" s="1432"/>
      <c r="AC1" s="1432"/>
      <c r="AD1" s="1432"/>
    </row>
    <row r="2" spans="1:31" x14ac:dyDescent="0.25">
      <c r="A2" s="1432" t="s">
        <v>353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1432"/>
      <c r="Y2" s="1432"/>
      <c r="Z2" s="1432"/>
      <c r="AA2" s="1432"/>
      <c r="AB2" s="1432"/>
      <c r="AC2" s="1432"/>
      <c r="AD2" s="1432"/>
    </row>
    <row r="3" spans="1:31" ht="15.75" thickBot="1" x14ac:dyDescent="0.3">
      <c r="A3" s="1433" t="s">
        <v>1403</v>
      </c>
      <c r="B3" s="1433"/>
      <c r="C3" s="1433"/>
      <c r="D3" s="1433"/>
      <c r="E3" s="1433"/>
      <c r="F3" s="1433"/>
      <c r="G3" s="1433"/>
      <c r="H3" s="1433"/>
      <c r="I3" s="1433"/>
      <c r="J3" s="1433"/>
      <c r="K3" s="1433"/>
      <c r="L3" s="1433"/>
      <c r="M3" s="1433"/>
      <c r="N3" s="1433"/>
      <c r="O3" s="1433"/>
      <c r="P3" s="1433"/>
      <c r="Q3" s="1433"/>
      <c r="R3" s="1433"/>
      <c r="S3" s="1433"/>
      <c r="T3" s="1433"/>
      <c r="U3" s="1433"/>
      <c r="V3" s="1433"/>
      <c r="W3" s="1433"/>
      <c r="X3" s="1433"/>
      <c r="Y3" s="1433"/>
      <c r="Z3" s="1433"/>
      <c r="AA3" s="1433"/>
      <c r="AB3" s="1433"/>
      <c r="AC3" s="1433"/>
      <c r="AD3" s="1433"/>
      <c r="AE3" s="1264"/>
    </row>
    <row r="4" spans="1:31" ht="27" thickTop="1" x14ac:dyDescent="0.25">
      <c r="A4" s="730" t="s">
        <v>347</v>
      </c>
      <c r="B4" s="730" t="s">
        <v>2</v>
      </c>
      <c r="C4" s="724" t="s">
        <v>133</v>
      </c>
      <c r="D4" s="1262" t="s">
        <v>1371</v>
      </c>
      <c r="E4" s="1262" t="s">
        <v>1204</v>
      </c>
      <c r="F4" s="1262" t="s">
        <v>1204</v>
      </c>
      <c r="G4" s="724" t="s">
        <v>1324</v>
      </c>
      <c r="H4" s="1262" t="s">
        <v>1204</v>
      </c>
      <c r="I4" s="1262" t="s">
        <v>1370</v>
      </c>
      <c r="J4" s="1262" t="s">
        <v>1219</v>
      </c>
      <c r="K4" s="724" t="s">
        <v>1</v>
      </c>
      <c r="L4" s="730" t="s">
        <v>316</v>
      </c>
      <c r="M4" s="730" t="s">
        <v>314</v>
      </c>
      <c r="N4" s="724" t="s">
        <v>346</v>
      </c>
      <c r="O4" s="158"/>
      <c r="P4" s="158"/>
      <c r="Q4" s="158"/>
      <c r="R4" s="158"/>
      <c r="S4" s="1263"/>
      <c r="T4" s="1263"/>
      <c r="U4" s="1263"/>
      <c r="V4" s="1263"/>
      <c r="W4" s="1263"/>
      <c r="X4" s="1263"/>
      <c r="Y4" s="1263"/>
      <c r="Z4" s="1263"/>
      <c r="AA4" s="724" t="s">
        <v>316</v>
      </c>
      <c r="AB4" s="724" t="s">
        <v>317</v>
      </c>
      <c r="AC4" s="724" t="s">
        <v>1</v>
      </c>
      <c r="AD4" s="724" t="s">
        <v>131</v>
      </c>
      <c r="AE4" s="724" t="s">
        <v>131</v>
      </c>
    </row>
    <row r="5" spans="1:31" x14ac:dyDescent="0.25">
      <c r="A5" s="69"/>
      <c r="B5" s="69" t="s">
        <v>3</v>
      </c>
      <c r="C5" s="70" t="s">
        <v>134</v>
      </c>
      <c r="D5" s="1100">
        <v>44459</v>
      </c>
      <c r="E5" s="1009" t="s">
        <v>1354</v>
      </c>
      <c r="F5" s="1009" t="s">
        <v>1329</v>
      </c>
      <c r="G5" s="722" t="s">
        <v>1328</v>
      </c>
      <c r="H5" s="1009" t="s">
        <v>1184</v>
      </c>
      <c r="I5" s="1100">
        <v>44389</v>
      </c>
      <c r="J5" s="1009" t="s">
        <v>1220</v>
      </c>
      <c r="K5" s="70" t="s">
        <v>314</v>
      </c>
      <c r="L5" s="69" t="s">
        <v>314</v>
      </c>
      <c r="M5" s="69" t="s">
        <v>315</v>
      </c>
      <c r="N5" s="70" t="s">
        <v>315</v>
      </c>
      <c r="O5" s="70" t="s">
        <v>0</v>
      </c>
      <c r="P5" s="70" t="s">
        <v>120</v>
      </c>
      <c r="Q5" s="70" t="s">
        <v>121</v>
      </c>
      <c r="R5" s="70" t="s">
        <v>122</v>
      </c>
      <c r="S5" s="70" t="s">
        <v>123</v>
      </c>
      <c r="T5" s="70" t="s">
        <v>124</v>
      </c>
      <c r="U5" s="70" t="s">
        <v>125</v>
      </c>
      <c r="V5" s="70" t="s">
        <v>126</v>
      </c>
      <c r="W5" s="70" t="s">
        <v>127</v>
      </c>
      <c r="X5" s="70" t="s">
        <v>128</v>
      </c>
      <c r="Y5" s="70" t="s">
        <v>129</v>
      </c>
      <c r="Z5" s="70" t="s">
        <v>130</v>
      </c>
      <c r="AA5" s="70" t="s">
        <v>317</v>
      </c>
      <c r="AB5" s="70" t="s">
        <v>318</v>
      </c>
      <c r="AC5" s="70" t="s">
        <v>317</v>
      </c>
      <c r="AD5" s="70" t="s">
        <v>314</v>
      </c>
      <c r="AE5" s="70" t="s">
        <v>137</v>
      </c>
    </row>
    <row r="6" spans="1:31" ht="15.75" x14ac:dyDescent="0.25">
      <c r="A6" s="981" t="s">
        <v>1165</v>
      </c>
      <c r="B6" s="253"/>
      <c r="C6" s="40"/>
      <c r="D6" s="989"/>
      <c r="E6" s="108"/>
      <c r="F6" s="989"/>
      <c r="G6" s="989"/>
      <c r="H6" s="1010"/>
      <c r="I6" s="1010"/>
      <c r="J6" s="1010"/>
      <c r="K6" s="40"/>
      <c r="L6" s="253"/>
      <c r="M6" s="253"/>
      <c r="N6" s="253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</row>
    <row r="7" spans="1:31" x14ac:dyDescent="0.25">
      <c r="A7" s="44" t="s">
        <v>4</v>
      </c>
      <c r="B7" s="253"/>
      <c r="C7" s="40"/>
      <c r="D7" s="989"/>
      <c r="E7" s="108"/>
      <c r="F7" s="989"/>
      <c r="G7" s="989"/>
      <c r="H7" s="1010"/>
      <c r="I7" s="1010"/>
      <c r="J7" s="1010"/>
      <c r="K7" s="40"/>
      <c r="L7" s="253"/>
      <c r="M7" s="253"/>
      <c r="N7" s="253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</row>
    <row r="8" spans="1:31" x14ac:dyDescent="0.25">
      <c r="A8" s="49" t="s">
        <v>5</v>
      </c>
      <c r="B8" s="50" t="s">
        <v>6</v>
      </c>
      <c r="C8" s="52">
        <f>5068670</f>
        <v>5068670</v>
      </c>
      <c r="D8" s="720"/>
      <c r="E8" s="991"/>
      <c r="F8" s="720"/>
      <c r="G8" s="720"/>
      <c r="H8" s="1011"/>
      <c r="I8" s="1011">
        <f>95510</f>
        <v>95510</v>
      </c>
      <c r="J8" s="1011"/>
      <c r="K8" s="147">
        <f>SUM(C8:J8)</f>
        <v>5164180</v>
      </c>
      <c r="L8" s="452">
        <f>K8/12*9</f>
        <v>3873135</v>
      </c>
      <c r="M8" s="147">
        <f>K8/12</f>
        <v>430348.33333333331</v>
      </c>
      <c r="N8" s="57">
        <f>L8+M8</f>
        <v>4303483.333333333</v>
      </c>
      <c r="O8" s="40">
        <v>404802</v>
      </c>
      <c r="P8" s="40">
        <v>405050.93</v>
      </c>
      <c r="Q8" s="40">
        <v>403752.03</v>
      </c>
      <c r="R8" s="40">
        <v>472196.18</v>
      </c>
      <c r="S8" s="40">
        <v>422009.81</v>
      </c>
      <c r="T8" s="40">
        <v>422626</v>
      </c>
      <c r="U8" s="40">
        <v>422626</v>
      </c>
      <c r="V8" s="40">
        <v>422626</v>
      </c>
      <c r="W8" s="40">
        <v>422626</v>
      </c>
      <c r="X8" s="40">
        <v>423076</v>
      </c>
      <c r="Y8" s="40"/>
      <c r="Z8" s="40"/>
      <c r="AA8" s="40">
        <f>O8+P8+Q8+R8+S8+T8+U8+V8+W8</f>
        <v>3798314.9499999997</v>
      </c>
      <c r="AB8" s="40">
        <f>X8</f>
        <v>423076</v>
      </c>
      <c r="AC8" s="40">
        <f>AA8+AB8</f>
        <v>4221390.9499999993</v>
      </c>
      <c r="AD8" s="40">
        <f>N8-AC8</f>
        <v>82092.383333333768</v>
      </c>
      <c r="AE8" s="40">
        <f>K8-AC8</f>
        <v>942789.05000000075</v>
      </c>
    </row>
    <row r="9" spans="1:31" hidden="1" x14ac:dyDescent="0.25">
      <c r="A9" s="49" t="s">
        <v>7</v>
      </c>
      <c r="B9" s="50" t="s">
        <v>8</v>
      </c>
      <c r="C9" s="52"/>
      <c r="D9" s="720"/>
      <c r="E9" s="991"/>
      <c r="F9" s="720"/>
      <c r="G9" s="720"/>
      <c r="H9" s="1011"/>
      <c r="I9" s="1011"/>
      <c r="J9" s="1011"/>
      <c r="K9" s="991">
        <f t="shared" ref="K9:K28" si="0">SUM(C9:J9)</f>
        <v>0</v>
      </c>
      <c r="L9" s="452">
        <f t="shared" ref="L9:L12" si="1">K9/12*9</f>
        <v>0</v>
      </c>
      <c r="M9" s="147">
        <f t="shared" ref="M9:M27" si="2">K9/12</f>
        <v>0</v>
      </c>
      <c r="N9" s="57">
        <f t="shared" ref="N9:N27" si="3">L9+M9</f>
        <v>0</v>
      </c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989">
        <f t="shared" ref="AA9:AA28" si="4">O9+P9+Q9+R9+S9+T9+U9+V9+W9</f>
        <v>0</v>
      </c>
      <c r="AB9" s="989">
        <f t="shared" ref="AB9:AB28" si="5">X9</f>
        <v>0</v>
      </c>
      <c r="AC9" s="989">
        <f t="shared" ref="AC9:AC28" si="6">AA9+AB9</f>
        <v>0</v>
      </c>
      <c r="AD9" s="989">
        <f t="shared" ref="AD9:AD28" si="7">N9-AC9</f>
        <v>0</v>
      </c>
      <c r="AE9" s="989">
        <f t="shared" ref="AE9:AE28" si="8">K9-AC9</f>
        <v>0</v>
      </c>
    </row>
    <row r="10" spans="1:31" x14ac:dyDescent="0.25">
      <c r="A10" s="44" t="s">
        <v>9</v>
      </c>
      <c r="B10" s="50"/>
      <c r="C10" s="52"/>
      <c r="D10" s="720"/>
      <c r="E10" s="991"/>
      <c r="F10" s="720"/>
      <c r="G10" s="720"/>
      <c r="H10" s="1011"/>
      <c r="I10" s="1011"/>
      <c r="J10" s="1011"/>
      <c r="K10" s="991">
        <f t="shared" si="0"/>
        <v>0</v>
      </c>
      <c r="L10" s="452">
        <f t="shared" si="1"/>
        <v>0</v>
      </c>
      <c r="M10" s="147">
        <f t="shared" si="2"/>
        <v>0</v>
      </c>
      <c r="N10" s="57">
        <f t="shared" si="3"/>
        <v>0</v>
      </c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989">
        <f t="shared" si="4"/>
        <v>0</v>
      </c>
      <c r="AB10" s="989">
        <f t="shared" si="5"/>
        <v>0</v>
      </c>
      <c r="AC10" s="989">
        <f t="shared" si="6"/>
        <v>0</v>
      </c>
      <c r="AD10" s="989">
        <f t="shared" si="7"/>
        <v>0</v>
      </c>
      <c r="AE10" s="989">
        <f t="shared" si="8"/>
        <v>0</v>
      </c>
    </row>
    <row r="11" spans="1:31" x14ac:dyDescent="0.25">
      <c r="A11" s="51" t="s">
        <v>10</v>
      </c>
      <c r="B11" s="50" t="s">
        <v>11</v>
      </c>
      <c r="C11" s="52">
        <f>432000</f>
        <v>432000</v>
      </c>
      <c r="D11" s="720"/>
      <c r="E11" s="991"/>
      <c r="F11" s="720"/>
      <c r="G11" s="720"/>
      <c r="H11" s="1011"/>
      <c r="I11" s="1011">
        <f>10000</f>
        <v>10000</v>
      </c>
      <c r="J11" s="1011"/>
      <c r="K11" s="991">
        <f t="shared" si="0"/>
        <v>442000</v>
      </c>
      <c r="L11" s="452">
        <f t="shared" si="1"/>
        <v>331500</v>
      </c>
      <c r="M11" s="147">
        <f t="shared" si="2"/>
        <v>36833.333333333336</v>
      </c>
      <c r="N11" s="57">
        <f t="shared" si="3"/>
        <v>368333.33333333331</v>
      </c>
      <c r="O11" s="40">
        <v>36000</v>
      </c>
      <c r="P11" s="40">
        <v>36000</v>
      </c>
      <c r="Q11" s="40">
        <v>36000</v>
      </c>
      <c r="R11" s="40">
        <v>36000</v>
      </c>
      <c r="S11" s="40">
        <v>34200</v>
      </c>
      <c r="T11" s="40">
        <v>36000</v>
      </c>
      <c r="U11" s="40">
        <v>36000</v>
      </c>
      <c r="V11" s="40">
        <v>36000</v>
      </c>
      <c r="W11" s="40">
        <v>36000</v>
      </c>
      <c r="X11" s="40">
        <v>36000</v>
      </c>
      <c r="Y11" s="40"/>
      <c r="Z11" s="40"/>
      <c r="AA11" s="989">
        <f t="shared" si="4"/>
        <v>322200</v>
      </c>
      <c r="AB11" s="989">
        <f t="shared" si="5"/>
        <v>36000</v>
      </c>
      <c r="AC11" s="989">
        <f t="shared" si="6"/>
        <v>358200</v>
      </c>
      <c r="AD11" s="989">
        <f t="shared" si="7"/>
        <v>10133.333333333314</v>
      </c>
      <c r="AE11" s="989">
        <f t="shared" si="8"/>
        <v>83800</v>
      </c>
    </row>
    <row r="12" spans="1:31" x14ac:dyDescent="0.25">
      <c r="A12" s="51" t="s">
        <v>12</v>
      </c>
      <c r="B12" s="50" t="s">
        <v>13</v>
      </c>
      <c r="C12" s="52">
        <f>86400</f>
        <v>86400</v>
      </c>
      <c r="D12" s="720"/>
      <c r="E12" s="991"/>
      <c r="F12" s="720"/>
      <c r="G12" s="720"/>
      <c r="H12" s="1011"/>
      <c r="I12" s="1011"/>
      <c r="J12" s="1011"/>
      <c r="K12" s="991">
        <f t="shared" si="0"/>
        <v>86400</v>
      </c>
      <c r="L12" s="452">
        <f t="shared" si="1"/>
        <v>64800</v>
      </c>
      <c r="M12" s="147">
        <f t="shared" si="2"/>
        <v>7200</v>
      </c>
      <c r="N12" s="57">
        <f t="shared" si="3"/>
        <v>72000</v>
      </c>
      <c r="O12" s="40">
        <v>7200</v>
      </c>
      <c r="P12" s="40">
        <v>7200</v>
      </c>
      <c r="Q12" s="40">
        <v>7200</v>
      </c>
      <c r="R12" s="40">
        <v>7200</v>
      </c>
      <c r="S12" s="40">
        <v>7200</v>
      </c>
      <c r="T12" s="40">
        <v>7200</v>
      </c>
      <c r="U12" s="40">
        <v>7200</v>
      </c>
      <c r="V12" s="40">
        <v>7200</v>
      </c>
      <c r="W12" s="40">
        <v>7200</v>
      </c>
      <c r="X12" s="40">
        <v>7200</v>
      </c>
      <c r="Y12" s="40"/>
      <c r="Z12" s="40"/>
      <c r="AA12" s="989">
        <f t="shared" si="4"/>
        <v>64800</v>
      </c>
      <c r="AB12" s="989">
        <f t="shared" si="5"/>
        <v>7200</v>
      </c>
      <c r="AC12" s="989">
        <f t="shared" si="6"/>
        <v>72000</v>
      </c>
      <c r="AD12" s="989">
        <f t="shared" si="7"/>
        <v>0</v>
      </c>
      <c r="AE12" s="989">
        <f t="shared" si="8"/>
        <v>14400</v>
      </c>
    </row>
    <row r="13" spans="1:31" x14ac:dyDescent="0.25">
      <c r="A13" s="51" t="s">
        <v>14</v>
      </c>
      <c r="B13" s="50" t="s">
        <v>15</v>
      </c>
      <c r="C13" s="52"/>
      <c r="D13" s="720"/>
      <c r="E13" s="991"/>
      <c r="F13" s="720"/>
      <c r="G13" s="720"/>
      <c r="H13" s="1011"/>
      <c r="I13" s="1011"/>
      <c r="J13" s="1011"/>
      <c r="K13" s="991">
        <f t="shared" si="0"/>
        <v>0</v>
      </c>
      <c r="L13" s="452">
        <f t="shared" ref="L13:L27" si="9">K13/12*8</f>
        <v>0</v>
      </c>
      <c r="M13" s="147">
        <f t="shared" si="2"/>
        <v>0</v>
      </c>
      <c r="N13" s="57">
        <f t="shared" si="3"/>
        <v>0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989">
        <f t="shared" si="4"/>
        <v>0</v>
      </c>
      <c r="AB13" s="989">
        <f t="shared" si="5"/>
        <v>0</v>
      </c>
      <c r="AC13" s="989">
        <f t="shared" si="6"/>
        <v>0</v>
      </c>
      <c r="AD13" s="989">
        <f t="shared" si="7"/>
        <v>0</v>
      </c>
      <c r="AE13" s="989">
        <f t="shared" si="8"/>
        <v>0</v>
      </c>
    </row>
    <row r="14" spans="1:31" x14ac:dyDescent="0.25">
      <c r="A14" s="51" t="s">
        <v>16</v>
      </c>
      <c r="B14" s="50" t="s">
        <v>17</v>
      </c>
      <c r="C14" s="52">
        <f>108000</f>
        <v>108000</v>
      </c>
      <c r="D14" s="720"/>
      <c r="E14" s="991"/>
      <c r="F14" s="720"/>
      <c r="G14" s="720"/>
      <c r="H14" s="1011"/>
      <c r="I14" s="1011"/>
      <c r="J14" s="1011"/>
      <c r="K14" s="991">
        <f t="shared" si="0"/>
        <v>108000</v>
      </c>
      <c r="L14" s="452">
        <f t="shared" si="9"/>
        <v>72000</v>
      </c>
      <c r="M14" s="147">
        <f t="shared" si="2"/>
        <v>9000</v>
      </c>
      <c r="N14" s="57">
        <f t="shared" si="3"/>
        <v>81000</v>
      </c>
      <c r="O14" s="40">
        <v>74000</v>
      </c>
      <c r="P14" s="40"/>
      <c r="Q14" s="40"/>
      <c r="R14" s="40"/>
      <c r="S14" s="40"/>
      <c r="T14" s="40"/>
      <c r="U14" s="40"/>
      <c r="V14" s="40"/>
      <c r="W14" s="40"/>
      <c r="X14" s="40">
        <v>14025</v>
      </c>
      <c r="Y14" s="40"/>
      <c r="Z14" s="40"/>
      <c r="AA14" s="989">
        <f t="shared" si="4"/>
        <v>74000</v>
      </c>
      <c r="AB14" s="989">
        <f t="shared" si="5"/>
        <v>14025</v>
      </c>
      <c r="AC14" s="989">
        <f t="shared" si="6"/>
        <v>88025</v>
      </c>
      <c r="AD14" s="989">
        <f t="shared" si="7"/>
        <v>-7025</v>
      </c>
      <c r="AE14" s="989">
        <f t="shared" si="8"/>
        <v>19975</v>
      </c>
    </row>
    <row r="15" spans="1:31" x14ac:dyDescent="0.25">
      <c r="A15" s="49" t="s">
        <v>20</v>
      </c>
      <c r="B15" s="50" t="s">
        <v>21</v>
      </c>
      <c r="C15" s="52">
        <f>38880</f>
        <v>38880</v>
      </c>
      <c r="D15" s="720"/>
      <c r="E15" s="991"/>
      <c r="F15" s="720"/>
      <c r="G15" s="720"/>
      <c r="H15" s="1011"/>
      <c r="I15" s="1011"/>
      <c r="J15" s="1011"/>
      <c r="K15" s="991">
        <f t="shared" si="0"/>
        <v>38880</v>
      </c>
      <c r="L15" s="452">
        <f t="shared" ref="L15:L26" si="10">K15/12*9</f>
        <v>29160</v>
      </c>
      <c r="M15" s="147">
        <f t="shared" si="2"/>
        <v>3240</v>
      </c>
      <c r="N15" s="57">
        <f t="shared" si="3"/>
        <v>32400</v>
      </c>
      <c r="O15" s="40">
        <v>3104.75</v>
      </c>
      <c r="P15" s="40">
        <v>3104.75</v>
      </c>
      <c r="Q15" s="40">
        <v>3104.75</v>
      </c>
      <c r="R15" s="40">
        <v>3240</v>
      </c>
      <c r="S15" s="40">
        <v>3240</v>
      </c>
      <c r="T15" s="40">
        <v>3240</v>
      </c>
      <c r="U15" s="40">
        <v>3240</v>
      </c>
      <c r="V15" s="40">
        <v>3240</v>
      </c>
      <c r="W15" s="40">
        <v>3240</v>
      </c>
      <c r="X15" s="40">
        <v>3240</v>
      </c>
      <c r="Y15" s="40"/>
      <c r="Z15" s="40"/>
      <c r="AA15" s="989">
        <f t="shared" si="4"/>
        <v>28754.25</v>
      </c>
      <c r="AB15" s="989">
        <f t="shared" si="5"/>
        <v>3240</v>
      </c>
      <c r="AC15" s="989">
        <f t="shared" si="6"/>
        <v>31994.25</v>
      </c>
      <c r="AD15" s="989">
        <f t="shared" si="7"/>
        <v>405.75</v>
      </c>
      <c r="AE15" s="989">
        <f t="shared" si="8"/>
        <v>6885.75</v>
      </c>
    </row>
    <row r="16" spans="1:31" x14ac:dyDescent="0.25">
      <c r="A16" s="49" t="s">
        <v>24</v>
      </c>
      <c r="B16" s="50" t="s">
        <v>23</v>
      </c>
      <c r="C16" s="52">
        <f>422626</f>
        <v>422626</v>
      </c>
      <c r="D16" s="720"/>
      <c r="E16" s="991"/>
      <c r="F16" s="720"/>
      <c r="G16" s="720"/>
      <c r="H16" s="1011"/>
      <c r="I16" s="1011">
        <f>19102</f>
        <v>19102</v>
      </c>
      <c r="J16" s="1011"/>
      <c r="K16" s="991">
        <f t="shared" si="0"/>
        <v>441728</v>
      </c>
      <c r="L16" s="452">
        <f t="shared" si="10"/>
        <v>331296</v>
      </c>
      <c r="M16" s="147">
        <f t="shared" si="2"/>
        <v>36810.666666666664</v>
      </c>
      <c r="N16" s="57">
        <f t="shared" si="3"/>
        <v>368106.66666666669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989">
        <f t="shared" si="4"/>
        <v>0</v>
      </c>
      <c r="AB16" s="989">
        <f t="shared" si="5"/>
        <v>0</v>
      </c>
      <c r="AC16" s="989">
        <f t="shared" si="6"/>
        <v>0</v>
      </c>
      <c r="AD16" s="989">
        <f t="shared" si="7"/>
        <v>368106.66666666669</v>
      </c>
      <c r="AE16" s="989">
        <f t="shared" si="8"/>
        <v>441728</v>
      </c>
    </row>
    <row r="17" spans="1:31" x14ac:dyDescent="0.25">
      <c r="A17" s="49" t="s">
        <v>25</v>
      </c>
      <c r="B17" s="50" t="s">
        <v>26</v>
      </c>
      <c r="C17" s="52">
        <f>90000</f>
        <v>90000</v>
      </c>
      <c r="D17" s="720"/>
      <c r="E17" s="991"/>
      <c r="F17" s="720"/>
      <c r="G17" s="720"/>
      <c r="H17" s="1011"/>
      <c r="I17" s="1011">
        <f>5000</f>
        <v>5000</v>
      </c>
      <c r="J17" s="1011"/>
      <c r="K17" s="991">
        <f t="shared" si="0"/>
        <v>95000</v>
      </c>
      <c r="L17" s="452">
        <f t="shared" si="10"/>
        <v>71250</v>
      </c>
      <c r="M17" s="147">
        <f t="shared" si="2"/>
        <v>7916.666666666667</v>
      </c>
      <c r="N17" s="57">
        <f t="shared" si="3"/>
        <v>79166.666666666672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989">
        <f t="shared" si="4"/>
        <v>0</v>
      </c>
      <c r="AB17" s="989">
        <f t="shared" si="5"/>
        <v>0</v>
      </c>
      <c r="AC17" s="989">
        <f t="shared" si="6"/>
        <v>0</v>
      </c>
      <c r="AD17" s="989">
        <f t="shared" si="7"/>
        <v>79166.666666666672</v>
      </c>
      <c r="AE17" s="989">
        <f t="shared" si="8"/>
        <v>95000</v>
      </c>
    </row>
    <row r="18" spans="1:31" x14ac:dyDescent="0.25">
      <c r="A18" s="44" t="s">
        <v>369</v>
      </c>
      <c r="B18" s="50"/>
      <c r="C18" s="52"/>
      <c r="D18" s="720"/>
      <c r="E18" s="991"/>
      <c r="F18" s="720"/>
      <c r="G18" s="720"/>
      <c r="H18" s="1011"/>
      <c r="I18" s="1011"/>
      <c r="J18" s="1011"/>
      <c r="K18" s="991">
        <f t="shared" si="0"/>
        <v>0</v>
      </c>
      <c r="L18" s="452">
        <f t="shared" si="10"/>
        <v>0</v>
      </c>
      <c r="M18" s="147">
        <f t="shared" si="2"/>
        <v>0</v>
      </c>
      <c r="N18" s="57">
        <f t="shared" si="3"/>
        <v>0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989">
        <f t="shared" si="4"/>
        <v>0</v>
      </c>
      <c r="AB18" s="989">
        <f t="shared" si="5"/>
        <v>0</v>
      </c>
      <c r="AC18" s="989">
        <f t="shared" si="6"/>
        <v>0</v>
      </c>
      <c r="AD18" s="989">
        <f t="shared" si="7"/>
        <v>0</v>
      </c>
      <c r="AE18" s="989">
        <f t="shared" si="8"/>
        <v>0</v>
      </c>
    </row>
    <row r="19" spans="1:31" x14ac:dyDescent="0.25">
      <c r="A19" s="49" t="s">
        <v>22</v>
      </c>
      <c r="B19" s="50" t="s">
        <v>23</v>
      </c>
      <c r="C19" s="52">
        <f>422626</f>
        <v>422626</v>
      </c>
      <c r="D19" s="720"/>
      <c r="E19" s="991"/>
      <c r="F19" s="720"/>
      <c r="G19" s="720"/>
      <c r="H19" s="1011"/>
      <c r="I19" s="1011"/>
      <c r="J19" s="1011"/>
      <c r="K19" s="991">
        <f t="shared" si="0"/>
        <v>422626</v>
      </c>
      <c r="L19" s="452">
        <f t="shared" si="10"/>
        <v>316969.5</v>
      </c>
      <c r="M19" s="147">
        <f t="shared" si="2"/>
        <v>35218.833333333336</v>
      </c>
      <c r="N19" s="57">
        <f t="shared" si="3"/>
        <v>352188.33333333331</v>
      </c>
      <c r="O19" s="40"/>
      <c r="P19" s="40"/>
      <c r="Q19" s="40"/>
      <c r="R19" s="40"/>
      <c r="S19" s="40">
        <v>422626</v>
      </c>
      <c r="T19" s="40"/>
      <c r="U19" s="40"/>
      <c r="V19" s="40"/>
      <c r="W19" s="40"/>
      <c r="X19" s="40"/>
      <c r="Y19" s="40"/>
      <c r="Z19" s="40"/>
      <c r="AA19" s="989">
        <f t="shared" si="4"/>
        <v>422626</v>
      </c>
      <c r="AB19" s="989">
        <f t="shared" si="5"/>
        <v>0</v>
      </c>
      <c r="AC19" s="989">
        <f t="shared" si="6"/>
        <v>422626</v>
      </c>
      <c r="AD19" s="989">
        <f t="shared" si="7"/>
        <v>-70437.666666666686</v>
      </c>
      <c r="AE19" s="989">
        <f t="shared" si="8"/>
        <v>0</v>
      </c>
    </row>
    <row r="20" spans="1:31" x14ac:dyDescent="0.25">
      <c r="A20" s="49" t="s">
        <v>18</v>
      </c>
      <c r="B20" s="50" t="s">
        <v>19</v>
      </c>
      <c r="C20" s="52">
        <f>90000</f>
        <v>90000</v>
      </c>
      <c r="D20" s="720"/>
      <c r="E20" s="991"/>
      <c r="F20" s="720"/>
      <c r="G20" s="720"/>
      <c r="H20" s="1011"/>
      <c r="I20" s="1011">
        <v>5000</v>
      </c>
      <c r="J20" s="1011"/>
      <c r="K20" s="991">
        <f t="shared" si="0"/>
        <v>95000</v>
      </c>
      <c r="L20" s="452">
        <f t="shared" si="10"/>
        <v>71250</v>
      </c>
      <c r="M20" s="147">
        <f t="shared" si="2"/>
        <v>7916.666666666667</v>
      </c>
      <c r="N20" s="57">
        <f t="shared" si="3"/>
        <v>79166.666666666672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989">
        <f t="shared" si="4"/>
        <v>0</v>
      </c>
      <c r="AB20" s="989">
        <f t="shared" si="5"/>
        <v>0</v>
      </c>
      <c r="AC20" s="989">
        <f t="shared" si="6"/>
        <v>0</v>
      </c>
      <c r="AD20" s="989">
        <f t="shared" si="7"/>
        <v>79166.666666666672</v>
      </c>
      <c r="AE20" s="989">
        <f t="shared" si="8"/>
        <v>95000</v>
      </c>
    </row>
    <row r="21" spans="1:31" x14ac:dyDescent="0.25">
      <c r="A21" s="53" t="s">
        <v>370</v>
      </c>
      <c r="B21" s="50" t="s">
        <v>27</v>
      </c>
      <c r="C21" s="52"/>
      <c r="D21" s="720"/>
      <c r="E21" s="991"/>
      <c r="F21" s="720"/>
      <c r="G21" s="720"/>
      <c r="H21" s="1011"/>
      <c r="I21" s="1011"/>
      <c r="J21" s="1011"/>
      <c r="K21" s="991">
        <f t="shared" si="0"/>
        <v>0</v>
      </c>
      <c r="L21" s="452">
        <f t="shared" si="10"/>
        <v>0</v>
      </c>
      <c r="M21" s="147">
        <f t="shared" si="2"/>
        <v>0</v>
      </c>
      <c r="N21" s="57">
        <f t="shared" si="3"/>
        <v>0</v>
      </c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989">
        <f t="shared" si="4"/>
        <v>0</v>
      </c>
      <c r="AB21" s="989">
        <f t="shared" si="5"/>
        <v>0</v>
      </c>
      <c r="AC21" s="989">
        <f t="shared" si="6"/>
        <v>0</v>
      </c>
      <c r="AD21" s="989">
        <f t="shared" si="7"/>
        <v>0</v>
      </c>
      <c r="AE21" s="989">
        <f t="shared" si="8"/>
        <v>0</v>
      </c>
    </row>
    <row r="22" spans="1:31" x14ac:dyDescent="0.25">
      <c r="A22" s="49" t="s">
        <v>28</v>
      </c>
      <c r="B22" s="50" t="s">
        <v>29</v>
      </c>
      <c r="C22" s="52">
        <f>608240.4</f>
        <v>608240.4</v>
      </c>
      <c r="D22" s="720"/>
      <c r="E22" s="991"/>
      <c r="F22" s="720"/>
      <c r="G22" s="720"/>
      <c r="H22" s="1011"/>
      <c r="I22" s="1011">
        <f>11461.2</f>
        <v>11461.2</v>
      </c>
      <c r="J22" s="1011"/>
      <c r="K22" s="991">
        <f t="shared" si="0"/>
        <v>619701.6</v>
      </c>
      <c r="L22" s="452">
        <f t="shared" si="10"/>
        <v>464776.19999999995</v>
      </c>
      <c r="M22" s="147">
        <f t="shared" si="2"/>
        <v>51641.799999999996</v>
      </c>
      <c r="N22" s="57">
        <f t="shared" si="3"/>
        <v>516417.99999999994</v>
      </c>
      <c r="O22" s="40">
        <v>48576.24</v>
      </c>
      <c r="P22" s="40">
        <v>48606.11</v>
      </c>
      <c r="Q22" s="40">
        <v>48450.44</v>
      </c>
      <c r="R22" s="40">
        <v>56663.54</v>
      </c>
      <c r="S22" s="40">
        <v>50715.12</v>
      </c>
      <c r="T22" s="40">
        <v>50715.12</v>
      </c>
      <c r="U22" s="40">
        <v>50715.12</v>
      </c>
      <c r="V22" s="40">
        <v>50715.12</v>
      </c>
      <c r="W22" s="40">
        <v>50715.12</v>
      </c>
      <c r="X22" s="40">
        <v>50715.12</v>
      </c>
      <c r="Y22" s="40"/>
      <c r="Z22" s="40"/>
      <c r="AA22" s="989">
        <f t="shared" si="4"/>
        <v>455871.93</v>
      </c>
      <c r="AB22" s="989">
        <f t="shared" si="5"/>
        <v>50715.12</v>
      </c>
      <c r="AC22" s="989">
        <f t="shared" si="6"/>
        <v>506587.05</v>
      </c>
      <c r="AD22" s="989">
        <f t="shared" si="7"/>
        <v>9830.9499999999534</v>
      </c>
      <c r="AE22" s="989">
        <f t="shared" si="8"/>
        <v>113114.54999999999</v>
      </c>
    </row>
    <row r="23" spans="1:31" x14ac:dyDescent="0.25">
      <c r="A23" s="49" t="s">
        <v>30</v>
      </c>
      <c r="B23" s="50" t="s">
        <v>31</v>
      </c>
      <c r="C23" s="52">
        <f>101373.4</f>
        <v>101373.4</v>
      </c>
      <c r="D23" s="720"/>
      <c r="E23" s="991"/>
      <c r="F23" s="720"/>
      <c r="G23" s="720"/>
      <c r="H23" s="1011"/>
      <c r="I23" s="1011">
        <f>1910.2</f>
        <v>1910.2</v>
      </c>
      <c r="J23" s="1011"/>
      <c r="K23" s="991">
        <f t="shared" si="0"/>
        <v>103283.59999999999</v>
      </c>
      <c r="L23" s="452">
        <f t="shared" si="10"/>
        <v>77462.699999999983</v>
      </c>
      <c r="M23" s="147">
        <f t="shared" si="2"/>
        <v>8606.9666666666653</v>
      </c>
      <c r="N23" s="57">
        <f t="shared" si="3"/>
        <v>86069.666666666642</v>
      </c>
      <c r="O23" s="40">
        <v>8096.04</v>
      </c>
      <c r="P23" s="40">
        <v>8101.02</v>
      </c>
      <c r="Q23" s="40">
        <v>8075.04</v>
      </c>
      <c r="R23" s="40">
        <v>9443.92</v>
      </c>
      <c r="S23" s="40">
        <v>8452.52</v>
      </c>
      <c r="T23" s="40">
        <v>8452.52</v>
      </c>
      <c r="U23" s="40">
        <v>8452.52</v>
      </c>
      <c r="V23" s="40">
        <v>8452.5300000000007</v>
      </c>
      <c r="W23" s="40">
        <v>5699.47</v>
      </c>
      <c r="X23" s="40">
        <v>8452.52</v>
      </c>
      <c r="Y23" s="40"/>
      <c r="Z23" s="40"/>
      <c r="AA23" s="989">
        <f t="shared" si="4"/>
        <v>73225.580000000016</v>
      </c>
      <c r="AB23" s="989">
        <f t="shared" si="5"/>
        <v>8452.52</v>
      </c>
      <c r="AC23" s="989">
        <f t="shared" si="6"/>
        <v>81678.10000000002</v>
      </c>
      <c r="AD23" s="989">
        <f t="shared" si="7"/>
        <v>4391.566666666622</v>
      </c>
      <c r="AE23" s="989">
        <f t="shared" si="8"/>
        <v>21605.499999999971</v>
      </c>
    </row>
    <row r="24" spans="1:31" x14ac:dyDescent="0.25">
      <c r="A24" s="49" t="s">
        <v>32</v>
      </c>
      <c r="B24" s="50" t="s">
        <v>33</v>
      </c>
      <c r="C24" s="52">
        <f>81842.5</f>
        <v>81842.5</v>
      </c>
      <c r="D24" s="720"/>
      <c r="E24" s="991"/>
      <c r="F24" s="720"/>
      <c r="G24" s="720"/>
      <c r="H24" s="1011"/>
      <c r="I24" s="1011">
        <f>1671.43</f>
        <v>1671.43</v>
      </c>
      <c r="J24" s="1011"/>
      <c r="K24" s="991">
        <f t="shared" si="0"/>
        <v>83513.929999999993</v>
      </c>
      <c r="L24" s="452">
        <f t="shared" si="10"/>
        <v>62635.447499999995</v>
      </c>
      <c r="M24" s="147">
        <f t="shared" si="2"/>
        <v>6959.4941666666664</v>
      </c>
      <c r="N24" s="57">
        <f t="shared" si="3"/>
        <v>69594.941666666666</v>
      </c>
      <c r="O24" s="40">
        <v>5456.33</v>
      </c>
      <c r="P24" s="40">
        <v>5460.06</v>
      </c>
      <c r="Q24" s="40">
        <v>5445.86</v>
      </c>
      <c r="R24" s="40">
        <v>5657.29</v>
      </c>
      <c r="S24" s="40">
        <v>5735.53</v>
      </c>
      <c r="T24" s="40">
        <v>5699.47</v>
      </c>
      <c r="U24" s="40">
        <v>5699.47</v>
      </c>
      <c r="V24" s="40">
        <v>5699.47</v>
      </c>
      <c r="W24" s="40">
        <v>8452.52</v>
      </c>
      <c r="X24" s="40">
        <v>5699.47</v>
      </c>
      <c r="Y24" s="40"/>
      <c r="Z24" s="40"/>
      <c r="AA24" s="989">
        <f t="shared" si="4"/>
        <v>53306</v>
      </c>
      <c r="AB24" s="989">
        <f t="shared" si="5"/>
        <v>5699.47</v>
      </c>
      <c r="AC24" s="989">
        <f t="shared" si="6"/>
        <v>59005.47</v>
      </c>
      <c r="AD24" s="989">
        <f t="shared" si="7"/>
        <v>10589.471666666665</v>
      </c>
      <c r="AE24" s="989">
        <f t="shared" si="8"/>
        <v>24508.459999999992</v>
      </c>
    </row>
    <row r="25" spans="1:31" x14ac:dyDescent="0.25">
      <c r="A25" s="49" t="s">
        <v>34</v>
      </c>
      <c r="B25" s="50" t="s">
        <v>35</v>
      </c>
      <c r="C25" s="52">
        <f>21600</f>
        <v>21600</v>
      </c>
      <c r="D25" s="720"/>
      <c r="E25" s="991"/>
      <c r="F25" s="720"/>
      <c r="G25" s="720"/>
      <c r="H25" s="1011"/>
      <c r="I25" s="1011">
        <f>500</f>
        <v>500</v>
      </c>
      <c r="J25" s="1011"/>
      <c r="K25" s="991">
        <f t="shared" si="0"/>
        <v>22100</v>
      </c>
      <c r="L25" s="452">
        <f t="shared" si="10"/>
        <v>16575</v>
      </c>
      <c r="M25" s="147">
        <f t="shared" si="2"/>
        <v>1841.6666666666667</v>
      </c>
      <c r="N25" s="57">
        <f t="shared" si="3"/>
        <v>18416.666666666668</v>
      </c>
      <c r="O25" s="40">
        <v>1800</v>
      </c>
      <c r="P25" s="40">
        <v>1800</v>
      </c>
      <c r="Q25" s="40">
        <v>1800</v>
      </c>
      <c r="R25" s="40">
        <v>1800</v>
      </c>
      <c r="S25" s="40">
        <v>1800</v>
      </c>
      <c r="T25" s="40">
        <v>1800</v>
      </c>
      <c r="U25" s="40">
        <v>1800</v>
      </c>
      <c r="V25" s="40">
        <v>1800</v>
      </c>
      <c r="W25" s="40">
        <v>1800</v>
      </c>
      <c r="X25" s="40">
        <v>1800</v>
      </c>
      <c r="Y25" s="40"/>
      <c r="Z25" s="40"/>
      <c r="AA25" s="989">
        <f t="shared" si="4"/>
        <v>16200</v>
      </c>
      <c r="AB25" s="989">
        <f t="shared" si="5"/>
        <v>1800</v>
      </c>
      <c r="AC25" s="989">
        <f t="shared" si="6"/>
        <v>18000</v>
      </c>
      <c r="AD25" s="989">
        <f t="shared" si="7"/>
        <v>416.66666666666788</v>
      </c>
      <c r="AE25" s="989">
        <f t="shared" si="8"/>
        <v>4100</v>
      </c>
    </row>
    <row r="26" spans="1:31" s="987" customFormat="1" x14ac:dyDescent="0.25">
      <c r="A26" s="44" t="s">
        <v>1181</v>
      </c>
      <c r="B26" s="50"/>
      <c r="C26" s="720"/>
      <c r="D26" s="720"/>
      <c r="E26" s="991"/>
      <c r="F26" s="720"/>
      <c r="G26" s="720"/>
      <c r="H26" s="1011"/>
      <c r="I26" s="1011"/>
      <c r="J26" s="1011"/>
      <c r="K26" s="991">
        <f t="shared" si="0"/>
        <v>0</v>
      </c>
      <c r="L26" s="452">
        <f t="shared" si="10"/>
        <v>0</v>
      </c>
      <c r="M26" s="991"/>
      <c r="N26" s="57"/>
      <c r="O26" s="989"/>
      <c r="P26" s="989"/>
      <c r="Q26" s="989"/>
      <c r="R26" s="989"/>
      <c r="S26" s="989"/>
      <c r="T26" s="989"/>
      <c r="U26" s="989"/>
      <c r="V26" s="989"/>
      <c r="W26" s="989"/>
      <c r="X26" s="989"/>
      <c r="Y26" s="989"/>
      <c r="Z26" s="989"/>
      <c r="AA26" s="989">
        <f t="shared" si="4"/>
        <v>0</v>
      </c>
      <c r="AB26" s="989">
        <f t="shared" si="5"/>
        <v>0</v>
      </c>
      <c r="AC26" s="989">
        <f t="shared" si="6"/>
        <v>0</v>
      </c>
      <c r="AD26" s="989">
        <f t="shared" si="7"/>
        <v>0</v>
      </c>
      <c r="AE26" s="989">
        <f t="shared" si="8"/>
        <v>0</v>
      </c>
    </row>
    <row r="27" spans="1:31" x14ac:dyDescent="0.25">
      <c r="A27" s="49" t="s">
        <v>36</v>
      </c>
      <c r="B27" s="50" t="s">
        <v>37</v>
      </c>
      <c r="C27" s="52">
        <f>632074.87</f>
        <v>632074.87</v>
      </c>
      <c r="D27" s="720">
        <f>157853.11</f>
        <v>157853.10999999999</v>
      </c>
      <c r="E27" s="991"/>
      <c r="F27" s="720"/>
      <c r="G27" s="720">
        <v>1196606.07</v>
      </c>
      <c r="H27" s="1011"/>
      <c r="I27" s="1011">
        <f>969522.62</f>
        <v>969522.62</v>
      </c>
      <c r="J27" s="1011"/>
      <c r="K27" s="991">
        <f>SUM(C27:J27)</f>
        <v>2956056.67</v>
      </c>
      <c r="L27" s="452">
        <f t="shared" si="9"/>
        <v>1970704.4466666665</v>
      </c>
      <c r="M27" s="147">
        <f t="shared" si="2"/>
        <v>246338.05583333332</v>
      </c>
      <c r="N27" s="57">
        <f t="shared" si="3"/>
        <v>2217042.5024999999</v>
      </c>
      <c r="O27" s="40">
        <v>100004.67</v>
      </c>
      <c r="P27" s="40">
        <v>530111.51</v>
      </c>
      <c r="Q27" s="40">
        <f>10100.8</f>
        <v>10100.799999999999</v>
      </c>
      <c r="R27" s="40"/>
      <c r="S27" s="40"/>
      <c r="T27" s="40">
        <f>1255606.06</f>
        <v>1255606.06</v>
      </c>
      <c r="U27" s="40">
        <v>227816.67</v>
      </c>
      <c r="V27" s="40"/>
      <c r="W27" s="40"/>
      <c r="X27" s="40">
        <v>101905.24</v>
      </c>
      <c r="Y27" s="40"/>
      <c r="Z27" s="40"/>
      <c r="AA27" s="989">
        <f t="shared" si="4"/>
        <v>2123639.71</v>
      </c>
      <c r="AB27" s="989">
        <f t="shared" si="5"/>
        <v>101905.24</v>
      </c>
      <c r="AC27" s="989">
        <f t="shared" si="6"/>
        <v>2225544.9500000002</v>
      </c>
      <c r="AD27" s="989">
        <f t="shared" si="7"/>
        <v>-8502.4475000002421</v>
      </c>
      <c r="AE27" s="989">
        <f t="shared" si="8"/>
        <v>730511.71999999974</v>
      </c>
    </row>
    <row r="28" spans="1:31" x14ac:dyDescent="0.25">
      <c r="A28" s="49"/>
      <c r="B28" s="54"/>
      <c r="C28" s="52"/>
      <c r="D28" s="720"/>
      <c r="E28" s="991"/>
      <c r="F28" s="720"/>
      <c r="G28" s="720"/>
      <c r="H28" s="1011"/>
      <c r="I28" s="1011"/>
      <c r="J28" s="1011"/>
      <c r="K28" s="991">
        <f t="shared" si="0"/>
        <v>0</v>
      </c>
      <c r="L28" s="452">
        <f t="shared" ref="L28" si="11">K28/12*7</f>
        <v>0</v>
      </c>
      <c r="M28" s="147"/>
      <c r="N28" s="57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989">
        <f t="shared" si="4"/>
        <v>0</v>
      </c>
      <c r="AB28" s="989">
        <f t="shared" si="5"/>
        <v>0</v>
      </c>
      <c r="AC28" s="989">
        <f t="shared" si="6"/>
        <v>0</v>
      </c>
      <c r="AD28" s="989">
        <f t="shared" si="7"/>
        <v>0</v>
      </c>
      <c r="AE28" s="989">
        <f t="shared" si="8"/>
        <v>0</v>
      </c>
    </row>
    <row r="29" spans="1:31" x14ac:dyDescent="0.25">
      <c r="A29" s="55" t="s">
        <v>40</v>
      </c>
      <c r="B29" s="56"/>
      <c r="C29" s="289">
        <f>SUM(C8:C28)</f>
        <v>8204333.1700000009</v>
      </c>
      <c r="D29" s="1000">
        <f>SUM(D8:D28)</f>
        <v>157853.10999999999</v>
      </c>
      <c r="E29" s="351">
        <f t="shared" ref="E29:F29" si="12">SUM(E8:E28)</f>
        <v>0</v>
      </c>
      <c r="F29" s="1000">
        <f t="shared" si="12"/>
        <v>0</v>
      </c>
      <c r="G29" s="1000">
        <f t="shared" ref="G29" si="13">SUM(G8:G28)</f>
        <v>1196606.07</v>
      </c>
      <c r="H29" s="1000">
        <f t="shared" ref="H29:AE29" si="14">SUM(H8:H28)</f>
        <v>0</v>
      </c>
      <c r="I29" s="1000">
        <f t="shared" si="14"/>
        <v>1119677.45</v>
      </c>
      <c r="J29" s="1000">
        <f t="shared" si="14"/>
        <v>0</v>
      </c>
      <c r="K29" s="1000">
        <f t="shared" si="14"/>
        <v>10678469.799999999</v>
      </c>
      <c r="L29" s="1000">
        <f t="shared" si="14"/>
        <v>7753514.2941666665</v>
      </c>
      <c r="M29" s="1000">
        <f t="shared" si="14"/>
        <v>889872.48333333328</v>
      </c>
      <c r="N29" s="1000">
        <f t="shared" si="14"/>
        <v>8643386.7774999999</v>
      </c>
      <c r="O29" s="1000">
        <f t="shared" si="14"/>
        <v>689040.03</v>
      </c>
      <c r="P29" s="1000">
        <f t="shared" si="14"/>
        <v>1045434.38</v>
      </c>
      <c r="Q29" s="1000">
        <f t="shared" si="14"/>
        <v>523928.92</v>
      </c>
      <c r="R29" s="1000">
        <f t="shared" si="14"/>
        <v>592200.93000000005</v>
      </c>
      <c r="S29" s="1000">
        <f t="shared" si="14"/>
        <v>955978.9800000001</v>
      </c>
      <c r="T29" s="1000">
        <f t="shared" si="14"/>
        <v>1791339.17</v>
      </c>
      <c r="U29" s="1000">
        <f t="shared" si="14"/>
        <v>763549.78</v>
      </c>
      <c r="V29" s="1000">
        <f t="shared" si="14"/>
        <v>535733.12</v>
      </c>
      <c r="W29" s="1000">
        <f t="shared" si="14"/>
        <v>535733.11</v>
      </c>
      <c r="X29" s="1000">
        <f t="shared" si="14"/>
        <v>652113.35</v>
      </c>
      <c r="Y29" s="1000">
        <f t="shared" si="14"/>
        <v>0</v>
      </c>
      <c r="Z29" s="1000">
        <f t="shared" si="14"/>
        <v>0</v>
      </c>
      <c r="AA29" s="1000">
        <f t="shared" si="14"/>
        <v>7432938.419999999</v>
      </c>
      <c r="AB29" s="1000">
        <f t="shared" si="14"/>
        <v>652113.35</v>
      </c>
      <c r="AC29" s="1000">
        <f t="shared" si="14"/>
        <v>8085051.7699999986</v>
      </c>
      <c r="AD29" s="1000">
        <f>SUM(AD8:AD28)</f>
        <v>558335.00750000007</v>
      </c>
      <c r="AE29" s="1000">
        <f t="shared" si="14"/>
        <v>2593418.0300000003</v>
      </c>
    </row>
    <row r="30" spans="1:31" x14ac:dyDescent="0.25">
      <c r="A30" s="44" t="s">
        <v>41</v>
      </c>
      <c r="B30" s="57"/>
      <c r="C30" s="52"/>
      <c r="D30" s="720"/>
      <c r="E30" s="991"/>
      <c r="F30" s="720"/>
      <c r="G30" s="720"/>
      <c r="H30" s="1011"/>
      <c r="I30" s="1011"/>
      <c r="J30" s="1011"/>
      <c r="K30" s="290"/>
      <c r="L30" s="188"/>
      <c r="M30" s="290"/>
      <c r="N30" s="57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>
        <f t="shared" ref="AD30:AD90" si="15">N30-AC30</f>
        <v>0</v>
      </c>
      <c r="AE30" s="40"/>
    </row>
    <row r="31" spans="1:31" x14ac:dyDescent="0.25">
      <c r="A31" s="49" t="s">
        <v>42</v>
      </c>
      <c r="B31" s="50" t="s">
        <v>43</v>
      </c>
      <c r="C31" s="52"/>
      <c r="D31" s="720"/>
      <c r="E31" s="991"/>
      <c r="F31" s="720"/>
      <c r="G31" s="720"/>
      <c r="H31" s="1011"/>
      <c r="I31" s="1011"/>
      <c r="J31" s="1011"/>
      <c r="K31" s="147"/>
      <c r="L31" s="188"/>
      <c r="M31" s="147"/>
      <c r="N31" s="5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989">
        <f t="shared" ref="AA31:AA90" si="16">O31+P31+Q31+R31+S31+T31+U31+V31+W31</f>
        <v>0</v>
      </c>
      <c r="AB31" s="989">
        <f t="shared" ref="AB31:AB90" si="17">X31</f>
        <v>0</v>
      </c>
      <c r="AC31" s="40">
        <f>AA31+AB31</f>
        <v>0</v>
      </c>
      <c r="AD31" s="989">
        <f t="shared" si="15"/>
        <v>0</v>
      </c>
      <c r="AE31" s="989">
        <f t="shared" ref="AE31:AE90" si="18">K31-AC31</f>
        <v>0</v>
      </c>
    </row>
    <row r="32" spans="1:31" x14ac:dyDescent="0.25">
      <c r="A32" s="275" t="s">
        <v>371</v>
      </c>
      <c r="B32" s="50"/>
      <c r="C32" s="52">
        <f>250000</f>
        <v>250000</v>
      </c>
      <c r="D32" s="720"/>
      <c r="E32" s="991"/>
      <c r="F32" s="720"/>
      <c r="G32" s="720"/>
      <c r="H32" s="1011"/>
      <c r="I32" s="1011"/>
      <c r="J32" s="1011"/>
      <c r="K32" s="991">
        <f t="shared" ref="K32:K90" si="19">SUM(C32:J32)</f>
        <v>250000</v>
      </c>
      <c r="L32" s="452">
        <f t="shared" ref="L32:L90" si="20">K32/12*9</f>
        <v>187500</v>
      </c>
      <c r="M32" s="147">
        <f>K32/12</f>
        <v>20833.333333333332</v>
      </c>
      <c r="N32" s="57">
        <f t="shared" ref="N32:N90" si="21">L32+M32</f>
        <v>208333.33333333334</v>
      </c>
      <c r="O32" s="40"/>
      <c r="P32" s="40">
        <v>16500</v>
      </c>
      <c r="Q32" s="40">
        <v>7660</v>
      </c>
      <c r="R32" s="40"/>
      <c r="S32" s="40">
        <v>5610</v>
      </c>
      <c r="T32" s="40">
        <v>15660</v>
      </c>
      <c r="U32" s="677">
        <v>9390</v>
      </c>
      <c r="V32" s="40">
        <v>21158</v>
      </c>
      <c r="W32" s="40">
        <v>19995.5</v>
      </c>
      <c r="X32" s="40">
        <v>8800</v>
      </c>
      <c r="Y32" s="40"/>
      <c r="Z32" s="40"/>
      <c r="AA32" s="989">
        <f t="shared" si="16"/>
        <v>95973.5</v>
      </c>
      <c r="AB32" s="989">
        <f t="shared" si="17"/>
        <v>8800</v>
      </c>
      <c r="AC32" s="989">
        <f t="shared" ref="AC32:AC90" si="22">AA32+AB32</f>
        <v>104773.5</v>
      </c>
      <c r="AD32" s="989">
        <f t="shared" si="15"/>
        <v>103559.83333333334</v>
      </c>
      <c r="AE32" s="989">
        <f t="shared" si="18"/>
        <v>145226.5</v>
      </c>
    </row>
    <row r="33" spans="1:31" x14ac:dyDescent="0.25">
      <c r="A33" s="275" t="s">
        <v>372</v>
      </c>
      <c r="B33" s="50"/>
      <c r="C33" s="52">
        <f>30000</f>
        <v>30000</v>
      </c>
      <c r="D33" s="720"/>
      <c r="E33" s="991"/>
      <c r="F33" s="720"/>
      <c r="G33" s="720"/>
      <c r="H33" s="1011"/>
      <c r="I33" s="1011"/>
      <c r="J33" s="1011"/>
      <c r="K33" s="991">
        <f t="shared" si="19"/>
        <v>30000</v>
      </c>
      <c r="L33" s="452">
        <f t="shared" si="20"/>
        <v>22500</v>
      </c>
      <c r="M33" s="991">
        <f t="shared" ref="M33:M90" si="23">K33/12</f>
        <v>2500</v>
      </c>
      <c r="N33" s="57">
        <f t="shared" si="21"/>
        <v>25000</v>
      </c>
      <c r="O33" s="40"/>
      <c r="P33" s="40">
        <f>4580+2680</f>
        <v>7260</v>
      </c>
      <c r="Q33" s="40">
        <v>4523</v>
      </c>
      <c r="R33" s="40"/>
      <c r="S33" s="40"/>
      <c r="T33" s="40"/>
      <c r="U33" s="40"/>
      <c r="V33" s="40">
        <v>7138</v>
      </c>
      <c r="W33" s="40"/>
      <c r="X33" s="40"/>
      <c r="Y33" s="40"/>
      <c r="Z33" s="40"/>
      <c r="AA33" s="989">
        <f t="shared" si="16"/>
        <v>18921</v>
      </c>
      <c r="AB33" s="989">
        <f t="shared" si="17"/>
        <v>0</v>
      </c>
      <c r="AC33" s="989">
        <f t="shared" si="22"/>
        <v>18921</v>
      </c>
      <c r="AD33" s="989">
        <f t="shared" si="15"/>
        <v>6079</v>
      </c>
      <c r="AE33" s="989">
        <f t="shared" si="18"/>
        <v>11079</v>
      </c>
    </row>
    <row r="34" spans="1:31" x14ac:dyDescent="0.25">
      <c r="A34" s="275" t="s">
        <v>373</v>
      </c>
      <c r="B34" s="50"/>
      <c r="C34" s="52">
        <f>10000</f>
        <v>10000</v>
      </c>
      <c r="D34" s="720"/>
      <c r="E34" s="991"/>
      <c r="F34" s="720"/>
      <c r="G34" s="720"/>
      <c r="H34" s="1011"/>
      <c r="I34" s="1011"/>
      <c r="J34" s="1011"/>
      <c r="K34" s="991">
        <f t="shared" si="19"/>
        <v>10000</v>
      </c>
      <c r="L34" s="452">
        <f t="shared" si="20"/>
        <v>7500</v>
      </c>
      <c r="M34" s="991">
        <f t="shared" si="23"/>
        <v>833.33333333333337</v>
      </c>
      <c r="N34" s="57">
        <f t="shared" si="21"/>
        <v>8333.3333333333339</v>
      </c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989">
        <f t="shared" si="16"/>
        <v>0</v>
      </c>
      <c r="AB34" s="989">
        <f t="shared" si="17"/>
        <v>0</v>
      </c>
      <c r="AC34" s="989">
        <f t="shared" si="22"/>
        <v>0</v>
      </c>
      <c r="AD34" s="989">
        <f t="shared" si="15"/>
        <v>8333.3333333333339</v>
      </c>
      <c r="AE34" s="989">
        <f t="shared" si="18"/>
        <v>10000</v>
      </c>
    </row>
    <row r="35" spans="1:31" x14ac:dyDescent="0.25">
      <c r="A35" s="275" t="s">
        <v>374</v>
      </c>
      <c r="B35" s="50"/>
      <c r="C35" s="52">
        <f>10000</f>
        <v>10000</v>
      </c>
      <c r="D35" s="720"/>
      <c r="E35" s="991"/>
      <c r="F35" s="720"/>
      <c r="G35" s="720"/>
      <c r="H35" s="1011"/>
      <c r="I35" s="1011"/>
      <c r="J35" s="1011"/>
      <c r="K35" s="991">
        <f t="shared" si="19"/>
        <v>10000</v>
      </c>
      <c r="L35" s="452">
        <f t="shared" si="20"/>
        <v>7500</v>
      </c>
      <c r="M35" s="991">
        <f t="shared" si="23"/>
        <v>833.33333333333337</v>
      </c>
      <c r="N35" s="57">
        <f t="shared" si="21"/>
        <v>8333.3333333333339</v>
      </c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989">
        <f t="shared" si="16"/>
        <v>0</v>
      </c>
      <c r="AB35" s="989">
        <f t="shared" si="17"/>
        <v>0</v>
      </c>
      <c r="AC35" s="989">
        <f t="shared" si="22"/>
        <v>0</v>
      </c>
      <c r="AD35" s="989">
        <f t="shared" si="15"/>
        <v>8333.3333333333339</v>
      </c>
      <c r="AE35" s="989">
        <f t="shared" si="18"/>
        <v>10000</v>
      </c>
    </row>
    <row r="36" spans="1:31" x14ac:dyDescent="0.25">
      <c r="A36" s="275" t="s">
        <v>375</v>
      </c>
      <c r="B36" s="50"/>
      <c r="C36" s="52">
        <f>10000</f>
        <v>10000</v>
      </c>
      <c r="D36" s="720"/>
      <c r="E36" s="991"/>
      <c r="F36" s="720"/>
      <c r="G36" s="720"/>
      <c r="H36" s="1011"/>
      <c r="I36" s="1011"/>
      <c r="J36" s="1011"/>
      <c r="K36" s="991">
        <f t="shared" si="19"/>
        <v>10000</v>
      </c>
      <c r="L36" s="452">
        <f t="shared" si="20"/>
        <v>7500</v>
      </c>
      <c r="M36" s="991">
        <f t="shared" si="23"/>
        <v>833.33333333333337</v>
      </c>
      <c r="N36" s="57">
        <f t="shared" si="21"/>
        <v>8333.3333333333339</v>
      </c>
      <c r="O36" s="40"/>
      <c r="P36" s="40"/>
      <c r="Q36" s="40"/>
      <c r="R36" s="40"/>
      <c r="S36" s="40"/>
      <c r="T36" s="40"/>
      <c r="U36" s="40"/>
      <c r="V36" s="989">
        <v>8320</v>
      </c>
      <c r="W36" s="40"/>
      <c r="X36" s="40"/>
      <c r="Y36" s="40"/>
      <c r="Z36" s="40"/>
      <c r="AA36" s="989">
        <f t="shared" si="16"/>
        <v>8320</v>
      </c>
      <c r="AB36" s="989">
        <f t="shared" si="17"/>
        <v>0</v>
      </c>
      <c r="AC36" s="989">
        <f t="shared" si="22"/>
        <v>8320</v>
      </c>
      <c r="AD36" s="989">
        <f t="shared" si="15"/>
        <v>13.33333333333394</v>
      </c>
      <c r="AE36" s="989">
        <f t="shared" si="18"/>
        <v>1680</v>
      </c>
    </row>
    <row r="37" spans="1:31" x14ac:dyDescent="0.25">
      <c r="A37" s="49" t="s">
        <v>44</v>
      </c>
      <c r="B37" s="50" t="s">
        <v>43</v>
      </c>
      <c r="C37" s="52"/>
      <c r="D37" s="720"/>
      <c r="E37" s="991"/>
      <c r="F37" s="720"/>
      <c r="G37" s="720"/>
      <c r="H37" s="1011"/>
      <c r="I37" s="1011"/>
      <c r="J37" s="1011"/>
      <c r="K37" s="991">
        <f t="shared" si="19"/>
        <v>0</v>
      </c>
      <c r="L37" s="452">
        <f t="shared" si="20"/>
        <v>0</v>
      </c>
      <c r="M37" s="991">
        <f t="shared" si="23"/>
        <v>0</v>
      </c>
      <c r="N37" s="57">
        <f t="shared" si="21"/>
        <v>0</v>
      </c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989">
        <f t="shared" si="16"/>
        <v>0</v>
      </c>
      <c r="AB37" s="989">
        <f t="shared" si="17"/>
        <v>0</v>
      </c>
      <c r="AC37" s="989">
        <f t="shared" si="22"/>
        <v>0</v>
      </c>
      <c r="AD37" s="989">
        <f t="shared" si="15"/>
        <v>0</v>
      </c>
      <c r="AE37" s="989">
        <f t="shared" si="18"/>
        <v>0</v>
      </c>
    </row>
    <row r="38" spans="1:31" x14ac:dyDescent="0.25">
      <c r="A38" s="49" t="s">
        <v>45</v>
      </c>
      <c r="B38" s="50"/>
      <c r="C38" s="52">
        <f>238000</f>
        <v>238000</v>
      </c>
      <c r="D38" s="720"/>
      <c r="E38" s="991">
        <f>15180</f>
        <v>15180</v>
      </c>
      <c r="F38" s="720">
        <f>-150000</f>
        <v>-150000</v>
      </c>
      <c r="G38" s="720"/>
      <c r="H38" s="1011"/>
      <c r="I38" s="1011"/>
      <c r="J38" s="1011"/>
      <c r="K38" s="991">
        <f t="shared" si="19"/>
        <v>103180</v>
      </c>
      <c r="L38" s="452">
        <f t="shared" si="20"/>
        <v>77385</v>
      </c>
      <c r="M38" s="991">
        <f t="shared" si="23"/>
        <v>8598.3333333333339</v>
      </c>
      <c r="N38" s="57">
        <f t="shared" si="21"/>
        <v>85983.333333333328</v>
      </c>
      <c r="O38" s="40"/>
      <c r="P38" s="40"/>
      <c r="Q38" s="40"/>
      <c r="R38" s="40"/>
      <c r="S38" s="40"/>
      <c r="T38" s="40"/>
      <c r="U38" s="40">
        <f>15000+5060</f>
        <v>20060</v>
      </c>
      <c r="V38" s="40">
        <v>10120</v>
      </c>
      <c r="W38" s="40">
        <v>25472.5</v>
      </c>
      <c r="X38" s="40"/>
      <c r="Y38" s="40"/>
      <c r="Z38" s="40"/>
      <c r="AA38" s="989">
        <f t="shared" si="16"/>
        <v>55652.5</v>
      </c>
      <c r="AB38" s="989">
        <f t="shared" si="17"/>
        <v>0</v>
      </c>
      <c r="AC38" s="989">
        <f t="shared" si="22"/>
        <v>55652.5</v>
      </c>
      <c r="AD38" s="989">
        <f t="shared" si="15"/>
        <v>30330.833333333328</v>
      </c>
      <c r="AE38" s="989">
        <f t="shared" si="18"/>
        <v>47527.5</v>
      </c>
    </row>
    <row r="39" spans="1:31" x14ac:dyDescent="0.25">
      <c r="A39" s="49" t="s">
        <v>46</v>
      </c>
      <c r="B39" s="50"/>
      <c r="C39" s="52">
        <f>5000</f>
        <v>5000</v>
      </c>
      <c r="D39" s="720"/>
      <c r="E39" s="991"/>
      <c r="F39" s="720"/>
      <c r="G39" s="720"/>
      <c r="H39" s="1011"/>
      <c r="I39" s="1011"/>
      <c r="J39" s="1011"/>
      <c r="K39" s="991">
        <f t="shared" si="19"/>
        <v>5000</v>
      </c>
      <c r="L39" s="452">
        <f t="shared" si="20"/>
        <v>3750</v>
      </c>
      <c r="M39" s="991">
        <f t="shared" si="23"/>
        <v>416.66666666666669</v>
      </c>
      <c r="N39" s="57">
        <f t="shared" si="21"/>
        <v>4166.666666666667</v>
      </c>
      <c r="O39" s="40"/>
      <c r="P39" s="40"/>
      <c r="Q39" s="40"/>
      <c r="R39" s="40"/>
      <c r="S39" s="40"/>
      <c r="T39" s="40"/>
      <c r="U39" s="40"/>
      <c r="V39" s="40">
        <v>4160</v>
      </c>
      <c r="W39" s="40"/>
      <c r="X39" s="40"/>
      <c r="Y39" s="40"/>
      <c r="Z39" s="40"/>
      <c r="AA39" s="989">
        <f t="shared" si="16"/>
        <v>4160</v>
      </c>
      <c r="AB39" s="989">
        <f t="shared" si="17"/>
        <v>0</v>
      </c>
      <c r="AC39" s="989">
        <f t="shared" si="22"/>
        <v>4160</v>
      </c>
      <c r="AD39" s="989">
        <f t="shared" si="15"/>
        <v>6.6666666666669698</v>
      </c>
      <c r="AE39" s="989">
        <f t="shared" si="18"/>
        <v>840</v>
      </c>
    </row>
    <row r="40" spans="1:31" x14ac:dyDescent="0.25">
      <c r="A40" s="49" t="s">
        <v>47</v>
      </c>
      <c r="B40" s="50"/>
      <c r="C40" s="52">
        <f>10000</f>
        <v>10000</v>
      </c>
      <c r="D40" s="720"/>
      <c r="E40" s="991"/>
      <c r="F40" s="720"/>
      <c r="G40" s="720"/>
      <c r="H40" s="1011"/>
      <c r="I40" s="1011"/>
      <c r="J40" s="1011"/>
      <c r="K40" s="991">
        <f t="shared" si="19"/>
        <v>10000</v>
      </c>
      <c r="L40" s="452">
        <f t="shared" si="20"/>
        <v>7500</v>
      </c>
      <c r="M40" s="991">
        <f t="shared" si="23"/>
        <v>833.33333333333337</v>
      </c>
      <c r="N40" s="57">
        <f t="shared" si="21"/>
        <v>8333.3333333333339</v>
      </c>
      <c r="O40" s="40"/>
      <c r="P40" s="40"/>
      <c r="Q40" s="40"/>
      <c r="R40" s="40"/>
      <c r="S40" s="40"/>
      <c r="T40" s="40"/>
      <c r="U40" s="40"/>
      <c r="V40" s="40">
        <v>10000</v>
      </c>
      <c r="W40" s="40"/>
      <c r="X40" s="40"/>
      <c r="Y40" s="40"/>
      <c r="Z40" s="40"/>
      <c r="AA40" s="989">
        <f t="shared" si="16"/>
        <v>10000</v>
      </c>
      <c r="AB40" s="989">
        <f t="shared" si="17"/>
        <v>0</v>
      </c>
      <c r="AC40" s="989">
        <f t="shared" si="22"/>
        <v>10000</v>
      </c>
      <c r="AD40" s="989">
        <f t="shared" si="15"/>
        <v>-1666.6666666666661</v>
      </c>
      <c r="AE40" s="989">
        <f t="shared" si="18"/>
        <v>0</v>
      </c>
    </row>
    <row r="41" spans="1:31" x14ac:dyDescent="0.25">
      <c r="A41" s="49" t="s">
        <v>48</v>
      </c>
      <c r="B41" s="50"/>
      <c r="C41" s="52">
        <f>70000</f>
        <v>70000</v>
      </c>
      <c r="D41" s="720"/>
      <c r="E41" s="991"/>
      <c r="F41" s="720"/>
      <c r="G41" s="720"/>
      <c r="H41" s="1011"/>
      <c r="I41" s="1011"/>
      <c r="J41" s="1011"/>
      <c r="K41" s="991">
        <f t="shared" si="19"/>
        <v>70000</v>
      </c>
      <c r="L41" s="452">
        <f t="shared" si="20"/>
        <v>52500</v>
      </c>
      <c r="M41" s="991">
        <f t="shared" si="23"/>
        <v>5833.333333333333</v>
      </c>
      <c r="N41" s="57">
        <f t="shared" si="21"/>
        <v>58333.333333333336</v>
      </c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989">
        <f t="shared" si="16"/>
        <v>0</v>
      </c>
      <c r="AB41" s="989">
        <f t="shared" si="17"/>
        <v>0</v>
      </c>
      <c r="AC41" s="989">
        <f t="shared" si="22"/>
        <v>0</v>
      </c>
      <c r="AD41" s="989">
        <f t="shared" si="15"/>
        <v>58333.333333333336</v>
      </c>
      <c r="AE41" s="989">
        <f t="shared" si="18"/>
        <v>70000</v>
      </c>
    </row>
    <row r="42" spans="1:31" x14ac:dyDescent="0.25">
      <c r="A42" s="49" t="s">
        <v>49</v>
      </c>
      <c r="B42" s="50"/>
      <c r="C42" s="52">
        <f>100000</f>
        <v>100000</v>
      </c>
      <c r="D42" s="720"/>
      <c r="E42" s="991"/>
      <c r="F42" s="720"/>
      <c r="G42" s="720"/>
      <c r="H42" s="1011"/>
      <c r="I42" s="1011"/>
      <c r="J42" s="1011"/>
      <c r="K42" s="991">
        <f t="shared" si="19"/>
        <v>100000</v>
      </c>
      <c r="L42" s="452">
        <f t="shared" si="20"/>
        <v>75000</v>
      </c>
      <c r="M42" s="991">
        <f t="shared" si="23"/>
        <v>8333.3333333333339</v>
      </c>
      <c r="N42" s="57">
        <f t="shared" si="21"/>
        <v>83333.333333333328</v>
      </c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989">
        <f t="shared" si="16"/>
        <v>0</v>
      </c>
      <c r="AB42" s="989">
        <f t="shared" si="17"/>
        <v>0</v>
      </c>
      <c r="AC42" s="989">
        <f t="shared" si="22"/>
        <v>0</v>
      </c>
      <c r="AD42" s="989">
        <f t="shared" si="15"/>
        <v>83333.333333333328</v>
      </c>
      <c r="AE42" s="989">
        <f t="shared" si="18"/>
        <v>100000</v>
      </c>
    </row>
    <row r="43" spans="1:31" x14ac:dyDescent="0.25">
      <c r="A43" s="49" t="s">
        <v>50</v>
      </c>
      <c r="B43" s="50" t="s">
        <v>51</v>
      </c>
      <c r="C43" s="52"/>
      <c r="D43" s="720"/>
      <c r="E43" s="991"/>
      <c r="F43" s="720"/>
      <c r="G43" s="720"/>
      <c r="H43" s="1011"/>
      <c r="I43" s="1011"/>
      <c r="J43" s="1011"/>
      <c r="K43" s="991">
        <f t="shared" si="19"/>
        <v>0</v>
      </c>
      <c r="L43" s="452">
        <f t="shared" si="20"/>
        <v>0</v>
      </c>
      <c r="M43" s="991">
        <f t="shared" si="23"/>
        <v>0</v>
      </c>
      <c r="N43" s="57">
        <f t="shared" si="21"/>
        <v>0</v>
      </c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989">
        <f t="shared" si="16"/>
        <v>0</v>
      </c>
      <c r="AB43" s="989">
        <f t="shared" si="17"/>
        <v>0</v>
      </c>
      <c r="AC43" s="989">
        <f t="shared" si="22"/>
        <v>0</v>
      </c>
      <c r="AD43" s="989">
        <f t="shared" si="15"/>
        <v>0</v>
      </c>
      <c r="AE43" s="989">
        <f t="shared" si="18"/>
        <v>0</v>
      </c>
    </row>
    <row r="44" spans="1:31" x14ac:dyDescent="0.25">
      <c r="A44" s="49" t="s">
        <v>45</v>
      </c>
      <c r="B44" s="50"/>
      <c r="C44" s="52">
        <v>200000</v>
      </c>
      <c r="D44" s="720"/>
      <c r="E44" s="991"/>
      <c r="F44" s="720"/>
      <c r="G44" s="720"/>
      <c r="H44" s="1011"/>
      <c r="I44" s="1011"/>
      <c r="J44" s="1011"/>
      <c r="K44" s="991">
        <f t="shared" si="19"/>
        <v>200000</v>
      </c>
      <c r="L44" s="452">
        <f t="shared" si="20"/>
        <v>150000</v>
      </c>
      <c r="M44" s="991">
        <f t="shared" si="23"/>
        <v>16666.666666666668</v>
      </c>
      <c r="N44" s="57">
        <f t="shared" si="21"/>
        <v>166666.66666666666</v>
      </c>
      <c r="O44" s="40"/>
      <c r="P44" s="40">
        <v>1454</v>
      </c>
      <c r="Q44" s="40"/>
      <c r="R44" s="40">
        <v>43544</v>
      </c>
      <c r="S44" s="40">
        <v>1391</v>
      </c>
      <c r="T44" s="40">
        <v>5400</v>
      </c>
      <c r="U44" s="40">
        <v>1670.5</v>
      </c>
      <c r="V44" s="40">
        <v>49597</v>
      </c>
      <c r="W44" s="40"/>
      <c r="X44" s="40"/>
      <c r="Y44" s="40"/>
      <c r="Z44" s="40"/>
      <c r="AA44" s="989">
        <f t="shared" si="16"/>
        <v>103056.5</v>
      </c>
      <c r="AB44" s="989">
        <f t="shared" si="17"/>
        <v>0</v>
      </c>
      <c r="AC44" s="989">
        <f t="shared" si="22"/>
        <v>103056.5</v>
      </c>
      <c r="AD44" s="989">
        <f t="shared" si="15"/>
        <v>63610.166666666657</v>
      </c>
      <c r="AE44" s="989">
        <f t="shared" si="18"/>
        <v>96943.5</v>
      </c>
    </row>
    <row r="45" spans="1:31" x14ac:dyDescent="0.25">
      <c r="A45" s="49" t="s">
        <v>52</v>
      </c>
      <c r="B45" s="50"/>
      <c r="C45" s="52">
        <v>5000</v>
      </c>
      <c r="D45" s="720"/>
      <c r="E45" s="991"/>
      <c r="F45" s="720"/>
      <c r="G45" s="720"/>
      <c r="H45" s="1011"/>
      <c r="I45" s="1011"/>
      <c r="J45" s="1011"/>
      <c r="K45" s="991">
        <f t="shared" si="19"/>
        <v>5000</v>
      </c>
      <c r="L45" s="452">
        <f t="shared" si="20"/>
        <v>3750</v>
      </c>
      <c r="M45" s="991">
        <f t="shared" si="23"/>
        <v>416.66666666666669</v>
      </c>
      <c r="N45" s="57">
        <f t="shared" si="21"/>
        <v>4166.666666666667</v>
      </c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989">
        <f t="shared" si="16"/>
        <v>0</v>
      </c>
      <c r="AB45" s="989">
        <f t="shared" si="17"/>
        <v>0</v>
      </c>
      <c r="AC45" s="989">
        <f t="shared" si="22"/>
        <v>0</v>
      </c>
      <c r="AD45" s="989">
        <f t="shared" si="15"/>
        <v>4166.666666666667</v>
      </c>
      <c r="AE45" s="989">
        <f t="shared" si="18"/>
        <v>5000</v>
      </c>
    </row>
    <row r="46" spans="1:31" x14ac:dyDescent="0.25">
      <c r="A46" s="49" t="s">
        <v>53</v>
      </c>
      <c r="B46" s="50"/>
      <c r="C46" s="52">
        <v>30000</v>
      </c>
      <c r="D46" s="720"/>
      <c r="E46" s="991"/>
      <c r="F46" s="720"/>
      <c r="G46" s="720"/>
      <c r="H46" s="1011"/>
      <c r="I46" s="1011"/>
      <c r="J46" s="1011"/>
      <c r="K46" s="991">
        <f t="shared" si="19"/>
        <v>30000</v>
      </c>
      <c r="L46" s="452">
        <f t="shared" si="20"/>
        <v>22500</v>
      </c>
      <c r="M46" s="991">
        <f t="shared" si="23"/>
        <v>2500</v>
      </c>
      <c r="N46" s="57">
        <f t="shared" si="21"/>
        <v>25000</v>
      </c>
      <c r="O46" s="40"/>
      <c r="P46" s="40"/>
      <c r="Q46" s="40"/>
      <c r="R46" s="40"/>
      <c r="S46" s="40"/>
      <c r="T46" s="40"/>
      <c r="U46" s="40"/>
      <c r="V46" s="40">
        <v>1120</v>
      </c>
      <c r="W46" s="989">
        <v>17502</v>
      </c>
      <c r="X46" s="40"/>
      <c r="Y46" s="40"/>
      <c r="Z46" s="40"/>
      <c r="AA46" s="989">
        <f t="shared" si="16"/>
        <v>18622</v>
      </c>
      <c r="AB46" s="989">
        <f t="shared" si="17"/>
        <v>0</v>
      </c>
      <c r="AC46" s="989">
        <f t="shared" si="22"/>
        <v>18622</v>
      </c>
      <c r="AD46" s="989">
        <f t="shared" si="15"/>
        <v>6378</v>
      </c>
      <c r="AE46" s="989">
        <f t="shared" si="18"/>
        <v>11378</v>
      </c>
    </row>
    <row r="47" spans="1:31" x14ac:dyDescent="0.25">
      <c r="A47" s="49" t="s">
        <v>54</v>
      </c>
      <c r="B47" s="50"/>
      <c r="C47" s="52">
        <v>5000</v>
      </c>
      <c r="D47" s="720"/>
      <c r="E47" s="991"/>
      <c r="F47" s="720"/>
      <c r="G47" s="720"/>
      <c r="H47" s="1011"/>
      <c r="I47" s="1011"/>
      <c r="J47" s="1011"/>
      <c r="K47" s="991">
        <f t="shared" si="19"/>
        <v>5000</v>
      </c>
      <c r="L47" s="452">
        <f t="shared" si="20"/>
        <v>3750</v>
      </c>
      <c r="M47" s="991">
        <f t="shared" si="23"/>
        <v>416.66666666666669</v>
      </c>
      <c r="N47" s="57">
        <f t="shared" si="21"/>
        <v>4166.666666666667</v>
      </c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989">
        <f t="shared" si="16"/>
        <v>0</v>
      </c>
      <c r="AB47" s="989">
        <f t="shared" si="17"/>
        <v>0</v>
      </c>
      <c r="AC47" s="989">
        <f t="shared" si="22"/>
        <v>0</v>
      </c>
      <c r="AD47" s="989">
        <f t="shared" si="15"/>
        <v>4166.666666666667</v>
      </c>
      <c r="AE47" s="989">
        <f t="shared" si="18"/>
        <v>5000</v>
      </c>
    </row>
    <row r="48" spans="1:31" x14ac:dyDescent="0.25">
      <c r="A48" s="49" t="s">
        <v>376</v>
      </c>
      <c r="B48" s="50"/>
      <c r="C48" s="52">
        <f>5000</f>
        <v>5000</v>
      </c>
      <c r="D48" s="720"/>
      <c r="E48" s="991"/>
      <c r="F48" s="720"/>
      <c r="G48" s="720"/>
      <c r="H48" s="1011"/>
      <c r="I48" s="1011"/>
      <c r="J48" s="1011"/>
      <c r="K48" s="991">
        <f t="shared" si="19"/>
        <v>5000</v>
      </c>
      <c r="L48" s="452">
        <f t="shared" si="20"/>
        <v>3750</v>
      </c>
      <c r="M48" s="991">
        <f t="shared" si="23"/>
        <v>416.66666666666669</v>
      </c>
      <c r="N48" s="57">
        <f t="shared" si="21"/>
        <v>4166.666666666667</v>
      </c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989">
        <f t="shared" si="16"/>
        <v>0</v>
      </c>
      <c r="AB48" s="989">
        <f t="shared" si="17"/>
        <v>0</v>
      </c>
      <c r="AC48" s="989">
        <f t="shared" si="22"/>
        <v>0</v>
      </c>
      <c r="AD48" s="989">
        <f t="shared" si="15"/>
        <v>4166.666666666667</v>
      </c>
      <c r="AE48" s="989">
        <f t="shared" si="18"/>
        <v>5000</v>
      </c>
    </row>
    <row r="49" spans="1:31" x14ac:dyDescent="0.25">
      <c r="A49" s="49" t="s">
        <v>377</v>
      </c>
      <c r="B49" s="50"/>
      <c r="C49" s="52"/>
      <c r="D49" s="720"/>
      <c r="E49" s="991"/>
      <c r="F49" s="720"/>
      <c r="G49" s="720"/>
      <c r="H49" s="1011"/>
      <c r="I49" s="1011"/>
      <c r="J49" s="1011"/>
      <c r="K49" s="991">
        <f t="shared" si="19"/>
        <v>0</v>
      </c>
      <c r="L49" s="452">
        <f t="shared" si="20"/>
        <v>0</v>
      </c>
      <c r="M49" s="991">
        <f t="shared" si="23"/>
        <v>0</v>
      </c>
      <c r="N49" s="57">
        <f t="shared" si="21"/>
        <v>0</v>
      </c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989">
        <f t="shared" si="16"/>
        <v>0</v>
      </c>
      <c r="AB49" s="989">
        <f t="shared" si="17"/>
        <v>0</v>
      </c>
      <c r="AC49" s="989">
        <f t="shared" si="22"/>
        <v>0</v>
      </c>
      <c r="AD49" s="989">
        <f t="shared" si="15"/>
        <v>0</v>
      </c>
      <c r="AE49" s="989">
        <f t="shared" si="18"/>
        <v>0</v>
      </c>
    </row>
    <row r="50" spans="1:31" x14ac:dyDescent="0.25">
      <c r="A50" s="49" t="s">
        <v>376</v>
      </c>
      <c r="B50" s="50"/>
      <c r="C50" s="52">
        <f>15000</f>
        <v>15000</v>
      </c>
      <c r="D50" s="720"/>
      <c r="E50" s="991"/>
      <c r="F50" s="720"/>
      <c r="G50" s="720"/>
      <c r="H50" s="1011"/>
      <c r="I50" s="1011"/>
      <c r="J50" s="1011"/>
      <c r="K50" s="991">
        <f t="shared" si="19"/>
        <v>15000</v>
      </c>
      <c r="L50" s="452">
        <f t="shared" si="20"/>
        <v>11250</v>
      </c>
      <c r="M50" s="991">
        <f t="shared" si="23"/>
        <v>1250</v>
      </c>
      <c r="N50" s="57">
        <f t="shared" si="21"/>
        <v>12500</v>
      </c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989">
        <f t="shared" si="16"/>
        <v>0</v>
      </c>
      <c r="AB50" s="989">
        <f t="shared" si="17"/>
        <v>0</v>
      </c>
      <c r="AC50" s="989">
        <f t="shared" si="22"/>
        <v>0</v>
      </c>
      <c r="AD50" s="989">
        <f t="shared" si="15"/>
        <v>12500</v>
      </c>
      <c r="AE50" s="989">
        <f t="shared" si="18"/>
        <v>15000</v>
      </c>
    </row>
    <row r="51" spans="1:31" x14ac:dyDescent="0.25">
      <c r="A51" s="49" t="s">
        <v>55</v>
      </c>
      <c r="B51" s="50" t="s">
        <v>56</v>
      </c>
      <c r="C51" s="52">
        <f>500000</f>
        <v>500000</v>
      </c>
      <c r="D51" s="720"/>
      <c r="E51" s="991"/>
      <c r="F51" s="720"/>
      <c r="G51" s="720"/>
      <c r="H51" s="1011"/>
      <c r="I51" s="1011"/>
      <c r="J51" s="1011"/>
      <c r="K51" s="991">
        <f t="shared" si="19"/>
        <v>500000</v>
      </c>
      <c r="L51" s="452">
        <f t="shared" si="20"/>
        <v>375000</v>
      </c>
      <c r="M51" s="991">
        <f t="shared" si="23"/>
        <v>41666.666666666664</v>
      </c>
      <c r="N51" s="57">
        <f t="shared" si="21"/>
        <v>416666.66666666669</v>
      </c>
      <c r="O51" s="40"/>
      <c r="P51" s="40">
        <v>9082.15</v>
      </c>
      <c r="Q51" s="40"/>
      <c r="R51" s="40">
        <f>46372.52+1680</f>
        <v>48052.52</v>
      </c>
      <c r="S51" s="40">
        <v>13612.36</v>
      </c>
      <c r="T51" s="40">
        <f>7224.38+3390.8</f>
        <v>10615.18</v>
      </c>
      <c r="U51" s="40"/>
      <c r="V51" s="40">
        <v>74711.83</v>
      </c>
      <c r="W51" s="40">
        <f>2240+11228.65+9369.66+607.66</f>
        <v>23445.969999999998</v>
      </c>
      <c r="X51" s="40"/>
      <c r="Y51" s="40"/>
      <c r="Z51" s="40"/>
      <c r="AA51" s="989">
        <f t="shared" si="16"/>
        <v>179520.00999999998</v>
      </c>
      <c r="AB51" s="989">
        <f t="shared" si="17"/>
        <v>0</v>
      </c>
      <c r="AC51" s="989">
        <f t="shared" si="22"/>
        <v>179520.00999999998</v>
      </c>
      <c r="AD51" s="989">
        <f t="shared" si="15"/>
        <v>237146.65666666671</v>
      </c>
      <c r="AE51" s="989">
        <f t="shared" si="18"/>
        <v>320479.99</v>
      </c>
    </row>
    <row r="52" spans="1:31" x14ac:dyDescent="0.25">
      <c r="A52" s="62" t="s">
        <v>57</v>
      </c>
      <c r="B52" s="50" t="s">
        <v>58</v>
      </c>
      <c r="C52" s="52">
        <f>10000</f>
        <v>10000</v>
      </c>
      <c r="D52" s="720"/>
      <c r="E52" s="991"/>
      <c r="F52" s="720"/>
      <c r="G52" s="720"/>
      <c r="H52" s="1011"/>
      <c r="I52" s="1011"/>
      <c r="J52" s="1011"/>
      <c r="K52" s="991">
        <f t="shared" si="19"/>
        <v>10000</v>
      </c>
      <c r="L52" s="452">
        <f t="shared" si="20"/>
        <v>7500</v>
      </c>
      <c r="M52" s="991">
        <f t="shared" si="23"/>
        <v>833.33333333333337</v>
      </c>
      <c r="N52" s="57">
        <f t="shared" si="21"/>
        <v>8333.3333333333339</v>
      </c>
      <c r="O52" s="40"/>
      <c r="P52" s="40"/>
      <c r="Q52" s="40">
        <v>720</v>
      </c>
      <c r="R52" s="40"/>
      <c r="S52" s="40"/>
      <c r="T52" s="40"/>
      <c r="U52" s="40">
        <f>130+130</f>
        <v>260</v>
      </c>
      <c r="V52" s="40">
        <f>1640</f>
        <v>1640</v>
      </c>
      <c r="W52" s="40"/>
      <c r="X52" s="40"/>
      <c r="Y52" s="40"/>
      <c r="Z52" s="40"/>
      <c r="AA52" s="989">
        <f t="shared" si="16"/>
        <v>2620</v>
      </c>
      <c r="AB52" s="989">
        <f t="shared" si="17"/>
        <v>0</v>
      </c>
      <c r="AC52" s="989">
        <f t="shared" si="22"/>
        <v>2620</v>
      </c>
      <c r="AD52" s="989">
        <f t="shared" si="15"/>
        <v>5713.3333333333339</v>
      </c>
      <c r="AE52" s="989">
        <f t="shared" si="18"/>
        <v>7380</v>
      </c>
    </row>
    <row r="53" spans="1:31" x14ac:dyDescent="0.25">
      <c r="A53" s="49" t="s">
        <v>59</v>
      </c>
      <c r="B53" s="50" t="s">
        <v>60</v>
      </c>
      <c r="C53" s="52">
        <v>144000</v>
      </c>
      <c r="D53" s="720"/>
      <c r="E53" s="991"/>
      <c r="F53" s="720"/>
      <c r="G53" s="720"/>
      <c r="H53" s="1011"/>
      <c r="I53" s="1011"/>
      <c r="J53" s="1011"/>
      <c r="K53" s="991">
        <f t="shared" si="19"/>
        <v>144000</v>
      </c>
      <c r="L53" s="452">
        <f t="shared" si="20"/>
        <v>108000</v>
      </c>
      <c r="M53" s="991">
        <f t="shared" si="23"/>
        <v>12000</v>
      </c>
      <c r="N53" s="57">
        <f t="shared" si="21"/>
        <v>120000</v>
      </c>
      <c r="O53" s="40">
        <v>11999</v>
      </c>
      <c r="P53" s="40">
        <v>11999</v>
      </c>
      <c r="Q53" s="40">
        <v>14998</v>
      </c>
      <c r="R53" s="40">
        <v>9000</v>
      </c>
      <c r="S53" s="40">
        <v>11664.25</v>
      </c>
      <c r="T53" s="40">
        <v>11665</v>
      </c>
      <c r="U53" s="40">
        <v>7465</v>
      </c>
      <c r="V53" s="40">
        <v>11665</v>
      </c>
      <c r="W53" s="40">
        <v>11308.32</v>
      </c>
      <c r="X53" s="40">
        <v>11665</v>
      </c>
      <c r="Y53" s="40"/>
      <c r="Z53" s="40"/>
      <c r="AA53" s="989">
        <f t="shared" si="16"/>
        <v>101763.57</v>
      </c>
      <c r="AB53" s="989">
        <f t="shared" si="17"/>
        <v>11665</v>
      </c>
      <c r="AC53" s="989">
        <f t="shared" si="22"/>
        <v>113428.57</v>
      </c>
      <c r="AD53" s="989">
        <f t="shared" si="15"/>
        <v>6571.429999999993</v>
      </c>
      <c r="AE53" s="989">
        <f t="shared" si="18"/>
        <v>30571.429999999993</v>
      </c>
    </row>
    <row r="54" spans="1:31" x14ac:dyDescent="0.25">
      <c r="A54" s="49" t="s">
        <v>61</v>
      </c>
      <c r="B54" s="50" t="s">
        <v>62</v>
      </c>
      <c r="C54" s="52">
        <f>80000</f>
        <v>80000</v>
      </c>
      <c r="D54" s="720"/>
      <c r="E54" s="991"/>
      <c r="F54" s="720"/>
      <c r="G54" s="720"/>
      <c r="H54" s="1011"/>
      <c r="I54" s="1011"/>
      <c r="J54" s="1011"/>
      <c r="K54" s="991">
        <f t="shared" si="19"/>
        <v>80000</v>
      </c>
      <c r="L54" s="452">
        <f t="shared" si="20"/>
        <v>60000</v>
      </c>
      <c r="M54" s="991">
        <f t="shared" si="23"/>
        <v>6666.666666666667</v>
      </c>
      <c r="N54" s="57">
        <f t="shared" si="21"/>
        <v>66666.666666666672</v>
      </c>
      <c r="O54" s="40"/>
      <c r="P54" s="40">
        <v>5594</v>
      </c>
      <c r="Q54" s="40">
        <v>7307</v>
      </c>
      <c r="R54" s="40">
        <v>1699</v>
      </c>
      <c r="S54" s="40">
        <v>1699</v>
      </c>
      <c r="T54" s="40">
        <v>5592</v>
      </c>
      <c r="U54" s="40">
        <v>19676.16</v>
      </c>
      <c r="V54" s="40">
        <v>3497.16</v>
      </c>
      <c r="W54" s="40"/>
      <c r="X54" s="40">
        <v>6996</v>
      </c>
      <c r="Y54" s="40"/>
      <c r="Z54" s="40"/>
      <c r="AA54" s="989">
        <f t="shared" si="16"/>
        <v>45064.320000000007</v>
      </c>
      <c r="AB54" s="989">
        <f t="shared" si="17"/>
        <v>6996</v>
      </c>
      <c r="AC54" s="989">
        <f t="shared" si="22"/>
        <v>52060.320000000007</v>
      </c>
      <c r="AD54" s="989">
        <f t="shared" si="15"/>
        <v>14606.346666666665</v>
      </c>
      <c r="AE54" s="989">
        <f t="shared" si="18"/>
        <v>27939.679999999993</v>
      </c>
    </row>
    <row r="55" spans="1:31" x14ac:dyDescent="0.25">
      <c r="A55" s="60" t="s">
        <v>63</v>
      </c>
      <c r="B55" s="50" t="s">
        <v>64</v>
      </c>
      <c r="C55" s="52"/>
      <c r="D55" s="720"/>
      <c r="E55" s="991"/>
      <c r="F55" s="720"/>
      <c r="G55" s="720"/>
      <c r="H55" s="1011"/>
      <c r="I55" s="1011"/>
      <c r="J55" s="1011"/>
      <c r="K55" s="991">
        <f t="shared" si="19"/>
        <v>0</v>
      </c>
      <c r="L55" s="452">
        <f t="shared" si="20"/>
        <v>0</v>
      </c>
      <c r="M55" s="991">
        <f t="shared" si="23"/>
        <v>0</v>
      </c>
      <c r="N55" s="57">
        <f t="shared" si="21"/>
        <v>0</v>
      </c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989">
        <f t="shared" si="16"/>
        <v>0</v>
      </c>
      <c r="AB55" s="989">
        <f t="shared" si="17"/>
        <v>0</v>
      </c>
      <c r="AC55" s="989">
        <f t="shared" si="22"/>
        <v>0</v>
      </c>
      <c r="AD55" s="989">
        <f t="shared" si="15"/>
        <v>0</v>
      </c>
      <c r="AE55" s="989">
        <f t="shared" si="18"/>
        <v>0</v>
      </c>
    </row>
    <row r="56" spans="1:31" x14ac:dyDescent="0.25">
      <c r="A56" s="49" t="s">
        <v>65</v>
      </c>
      <c r="B56" s="50"/>
      <c r="C56" s="52">
        <f>50000</f>
        <v>50000</v>
      </c>
      <c r="D56" s="720"/>
      <c r="E56" s="991"/>
      <c r="F56" s="720"/>
      <c r="G56" s="720"/>
      <c r="H56" s="1011"/>
      <c r="I56" s="1011"/>
      <c r="J56" s="1011"/>
      <c r="K56" s="991">
        <f t="shared" si="19"/>
        <v>50000</v>
      </c>
      <c r="L56" s="452">
        <f t="shared" si="20"/>
        <v>37500</v>
      </c>
      <c r="M56" s="991">
        <f t="shared" si="23"/>
        <v>4166.666666666667</v>
      </c>
      <c r="N56" s="57">
        <f t="shared" si="21"/>
        <v>41666.666666666664</v>
      </c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989">
        <f t="shared" si="16"/>
        <v>0</v>
      </c>
      <c r="AB56" s="989">
        <f t="shared" si="17"/>
        <v>0</v>
      </c>
      <c r="AC56" s="989">
        <f t="shared" si="22"/>
        <v>0</v>
      </c>
      <c r="AD56" s="989">
        <f t="shared" si="15"/>
        <v>41666.666666666664</v>
      </c>
      <c r="AE56" s="989">
        <f t="shared" si="18"/>
        <v>50000</v>
      </c>
    </row>
    <row r="57" spans="1:31" x14ac:dyDescent="0.25">
      <c r="A57" s="49" t="s">
        <v>66</v>
      </c>
      <c r="B57" s="50"/>
      <c r="C57" s="52">
        <v>50000</v>
      </c>
      <c r="D57" s="720"/>
      <c r="E57" s="991"/>
      <c r="F57" s="720"/>
      <c r="G57" s="720"/>
      <c r="H57" s="1011"/>
      <c r="I57" s="1011"/>
      <c r="J57" s="1011"/>
      <c r="K57" s="991">
        <f t="shared" si="19"/>
        <v>50000</v>
      </c>
      <c r="L57" s="452">
        <f t="shared" si="20"/>
        <v>37500</v>
      </c>
      <c r="M57" s="991">
        <f t="shared" si="23"/>
        <v>4166.666666666667</v>
      </c>
      <c r="N57" s="57">
        <f t="shared" si="21"/>
        <v>41666.666666666664</v>
      </c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989">
        <f t="shared" si="16"/>
        <v>0</v>
      </c>
      <c r="AB57" s="989">
        <f t="shared" si="17"/>
        <v>0</v>
      </c>
      <c r="AC57" s="989">
        <f t="shared" si="22"/>
        <v>0</v>
      </c>
      <c r="AD57" s="989">
        <f t="shared" si="15"/>
        <v>41666.666666666664</v>
      </c>
      <c r="AE57" s="989">
        <f t="shared" si="18"/>
        <v>50000</v>
      </c>
    </row>
    <row r="58" spans="1:31" x14ac:dyDescent="0.25">
      <c r="A58" s="49" t="s">
        <v>378</v>
      </c>
      <c r="B58" s="50"/>
      <c r="C58" s="52"/>
      <c r="D58" s="720"/>
      <c r="E58" s="991"/>
      <c r="F58" s="720"/>
      <c r="G58" s="720"/>
      <c r="H58" s="1011"/>
      <c r="I58" s="1011"/>
      <c r="J58" s="1011"/>
      <c r="K58" s="991">
        <f t="shared" si="19"/>
        <v>0</v>
      </c>
      <c r="L58" s="452">
        <f t="shared" si="20"/>
        <v>0</v>
      </c>
      <c r="M58" s="991">
        <f t="shared" si="23"/>
        <v>0</v>
      </c>
      <c r="N58" s="57">
        <f t="shared" si="21"/>
        <v>0</v>
      </c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989">
        <f t="shared" si="16"/>
        <v>0</v>
      </c>
      <c r="AB58" s="989">
        <f t="shared" si="17"/>
        <v>0</v>
      </c>
      <c r="AC58" s="989">
        <f t="shared" si="22"/>
        <v>0</v>
      </c>
      <c r="AD58" s="989">
        <f t="shared" si="15"/>
        <v>0</v>
      </c>
      <c r="AE58" s="989">
        <f t="shared" si="18"/>
        <v>0</v>
      </c>
    </row>
    <row r="59" spans="1:31" s="292" customFormat="1" x14ac:dyDescent="0.25">
      <c r="A59" s="276" t="s">
        <v>107</v>
      </c>
      <c r="B59" s="276" t="s">
        <v>106</v>
      </c>
      <c r="C59" s="281">
        <f>48463.64</f>
        <v>48463.64</v>
      </c>
      <c r="D59" s="281"/>
      <c r="E59" s="991"/>
      <c r="F59" s="281"/>
      <c r="G59" s="281"/>
      <c r="H59" s="1012"/>
      <c r="I59" s="1012"/>
      <c r="J59" s="1012"/>
      <c r="K59" s="991">
        <f t="shared" si="19"/>
        <v>48463.64</v>
      </c>
      <c r="L59" s="452">
        <f t="shared" si="20"/>
        <v>36347.730000000003</v>
      </c>
      <c r="M59" s="991">
        <f t="shared" si="23"/>
        <v>4038.6366666666668</v>
      </c>
      <c r="N59" s="57">
        <f t="shared" si="21"/>
        <v>40386.366666666669</v>
      </c>
      <c r="O59" s="291"/>
      <c r="P59" s="291"/>
      <c r="Q59" s="291"/>
      <c r="R59" s="291"/>
      <c r="S59" s="291"/>
      <c r="T59" s="291"/>
      <c r="U59" s="291">
        <v>9040</v>
      </c>
      <c r="V59" s="291"/>
      <c r="W59" s="291">
        <v>2994.5</v>
      </c>
      <c r="X59" s="291"/>
      <c r="Y59" s="291"/>
      <c r="Z59" s="291"/>
      <c r="AA59" s="989">
        <f t="shared" si="16"/>
        <v>12034.5</v>
      </c>
      <c r="AB59" s="989">
        <f t="shared" si="17"/>
        <v>0</v>
      </c>
      <c r="AC59" s="989">
        <f t="shared" si="22"/>
        <v>12034.5</v>
      </c>
      <c r="AD59" s="989">
        <f t="shared" si="15"/>
        <v>28351.866666666669</v>
      </c>
      <c r="AE59" s="989">
        <f t="shared" si="18"/>
        <v>36429.14</v>
      </c>
    </row>
    <row r="60" spans="1:31" s="292" customFormat="1" x14ac:dyDescent="0.25">
      <c r="A60" s="49" t="s">
        <v>379</v>
      </c>
      <c r="B60" s="276"/>
      <c r="C60" s="281">
        <f>10000</f>
        <v>10000</v>
      </c>
      <c r="D60" s="281"/>
      <c r="E60" s="991"/>
      <c r="F60" s="281">
        <f>-10000</f>
        <v>-10000</v>
      </c>
      <c r="G60" s="281"/>
      <c r="H60" s="1012"/>
      <c r="I60" s="1012"/>
      <c r="J60" s="1012"/>
      <c r="K60" s="991">
        <f t="shared" si="19"/>
        <v>0</v>
      </c>
      <c r="L60" s="452">
        <f t="shared" si="20"/>
        <v>0</v>
      </c>
      <c r="M60" s="991">
        <f t="shared" si="23"/>
        <v>0</v>
      </c>
      <c r="N60" s="57">
        <f t="shared" si="21"/>
        <v>0</v>
      </c>
      <c r="O60" s="291"/>
      <c r="P60" s="291"/>
      <c r="Q60" s="291"/>
      <c r="R60" s="291"/>
      <c r="S60" s="291"/>
      <c r="T60" s="291"/>
      <c r="U60" s="291"/>
      <c r="V60" s="291"/>
      <c r="W60" s="291"/>
      <c r="X60" s="291"/>
      <c r="Y60" s="291"/>
      <c r="Z60" s="291"/>
      <c r="AA60" s="989">
        <f t="shared" si="16"/>
        <v>0</v>
      </c>
      <c r="AB60" s="989">
        <f t="shared" si="17"/>
        <v>0</v>
      </c>
      <c r="AC60" s="989">
        <f t="shared" si="22"/>
        <v>0</v>
      </c>
      <c r="AD60" s="989">
        <f t="shared" si="15"/>
        <v>0</v>
      </c>
      <c r="AE60" s="989">
        <f t="shared" si="18"/>
        <v>0</v>
      </c>
    </row>
    <row r="61" spans="1:31" s="292" customFormat="1" x14ac:dyDescent="0.25">
      <c r="A61" s="276" t="s">
        <v>380</v>
      </c>
      <c r="B61" s="276"/>
      <c r="C61" s="281">
        <f>40000</f>
        <v>40000</v>
      </c>
      <c r="D61" s="281"/>
      <c r="E61" s="991"/>
      <c r="F61" s="281"/>
      <c r="G61" s="281"/>
      <c r="H61" s="1012"/>
      <c r="I61" s="1012"/>
      <c r="J61" s="1012"/>
      <c r="K61" s="991">
        <f t="shared" si="19"/>
        <v>40000</v>
      </c>
      <c r="L61" s="452">
        <f t="shared" si="20"/>
        <v>30000</v>
      </c>
      <c r="M61" s="991">
        <f t="shared" si="23"/>
        <v>3333.3333333333335</v>
      </c>
      <c r="N61" s="57">
        <f t="shared" si="21"/>
        <v>33333.333333333336</v>
      </c>
      <c r="O61" s="291"/>
      <c r="P61" s="291"/>
      <c r="Q61" s="291"/>
      <c r="R61" s="291"/>
      <c r="S61" s="291"/>
      <c r="T61" s="291"/>
      <c r="U61" s="291"/>
      <c r="V61" s="291"/>
      <c r="W61" s="291"/>
      <c r="X61" s="291"/>
      <c r="Y61" s="291"/>
      <c r="Z61" s="291"/>
      <c r="AA61" s="989">
        <f t="shared" si="16"/>
        <v>0</v>
      </c>
      <c r="AB61" s="989">
        <f t="shared" si="17"/>
        <v>0</v>
      </c>
      <c r="AC61" s="989">
        <f t="shared" si="22"/>
        <v>0</v>
      </c>
      <c r="AD61" s="989">
        <f t="shared" si="15"/>
        <v>33333.333333333336</v>
      </c>
      <c r="AE61" s="989">
        <f t="shared" si="18"/>
        <v>40000</v>
      </c>
    </row>
    <row r="62" spans="1:31" x14ac:dyDescent="0.25">
      <c r="A62" s="60" t="s">
        <v>67</v>
      </c>
      <c r="B62" s="50" t="s">
        <v>68</v>
      </c>
      <c r="C62" s="52">
        <f>20000</f>
        <v>20000</v>
      </c>
      <c r="D62" s="720"/>
      <c r="E62" s="991"/>
      <c r="F62" s="720"/>
      <c r="G62" s="720"/>
      <c r="H62" s="1011"/>
      <c r="I62" s="1011"/>
      <c r="J62" s="1011"/>
      <c r="K62" s="991">
        <f t="shared" si="19"/>
        <v>20000</v>
      </c>
      <c r="L62" s="452">
        <f t="shared" si="20"/>
        <v>15000</v>
      </c>
      <c r="M62" s="991">
        <f t="shared" si="23"/>
        <v>1666.6666666666667</v>
      </c>
      <c r="N62" s="57">
        <f t="shared" si="21"/>
        <v>16666.666666666668</v>
      </c>
      <c r="O62" s="40"/>
      <c r="P62" s="40"/>
      <c r="Q62" s="40"/>
      <c r="R62" s="40"/>
      <c r="S62" s="40"/>
      <c r="T62" s="40"/>
      <c r="U62" s="40"/>
      <c r="V62" s="40"/>
      <c r="W62" s="40">
        <v>4000</v>
      </c>
      <c r="X62" s="40"/>
      <c r="Y62" s="40"/>
      <c r="Z62" s="40"/>
      <c r="AA62" s="989">
        <f t="shared" si="16"/>
        <v>4000</v>
      </c>
      <c r="AB62" s="989">
        <f t="shared" si="17"/>
        <v>0</v>
      </c>
      <c r="AC62" s="989">
        <f t="shared" si="22"/>
        <v>4000</v>
      </c>
      <c r="AD62" s="989">
        <f t="shared" si="15"/>
        <v>12666.666666666668</v>
      </c>
      <c r="AE62" s="989">
        <f t="shared" si="18"/>
        <v>16000</v>
      </c>
    </row>
    <row r="63" spans="1:31" x14ac:dyDescent="0.25">
      <c r="A63" s="60" t="s">
        <v>69</v>
      </c>
      <c r="B63" s="50" t="s">
        <v>70</v>
      </c>
      <c r="C63" s="52"/>
      <c r="D63" s="720"/>
      <c r="E63" s="991"/>
      <c r="F63" s="720"/>
      <c r="G63" s="720"/>
      <c r="H63" s="1011"/>
      <c r="I63" s="1011"/>
      <c r="J63" s="1011"/>
      <c r="K63" s="991">
        <f t="shared" si="19"/>
        <v>0</v>
      </c>
      <c r="L63" s="452">
        <f t="shared" si="20"/>
        <v>0</v>
      </c>
      <c r="M63" s="991">
        <f t="shared" si="23"/>
        <v>0</v>
      </c>
      <c r="N63" s="57">
        <f t="shared" si="21"/>
        <v>0</v>
      </c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989">
        <f t="shared" si="16"/>
        <v>0</v>
      </c>
      <c r="AB63" s="989">
        <f t="shared" si="17"/>
        <v>0</v>
      </c>
      <c r="AC63" s="989">
        <f t="shared" si="22"/>
        <v>0</v>
      </c>
      <c r="AD63" s="989">
        <f t="shared" si="15"/>
        <v>0</v>
      </c>
      <c r="AE63" s="989">
        <f t="shared" si="18"/>
        <v>0</v>
      </c>
    </row>
    <row r="64" spans="1:31" x14ac:dyDescent="0.25">
      <c r="A64" s="60" t="s">
        <v>71</v>
      </c>
      <c r="B64" s="50"/>
      <c r="C64" s="52">
        <f>3039400</f>
        <v>3039400</v>
      </c>
      <c r="D64" s="720"/>
      <c r="E64" s="991"/>
      <c r="F64" s="720"/>
      <c r="G64" s="720"/>
      <c r="H64" s="1011"/>
      <c r="I64" s="1011"/>
      <c r="J64" s="1011">
        <v>340000</v>
      </c>
      <c r="K64" s="991">
        <f t="shared" si="19"/>
        <v>3379400</v>
      </c>
      <c r="L64" s="452">
        <f t="shared" si="20"/>
        <v>2534550</v>
      </c>
      <c r="M64" s="991">
        <f t="shared" si="23"/>
        <v>281616.66666666669</v>
      </c>
      <c r="N64" s="57">
        <f t="shared" si="21"/>
        <v>2816166.6666666665</v>
      </c>
      <c r="O64" s="40">
        <v>144850.60999999999</v>
      </c>
      <c r="P64" s="40">
        <v>227086.44</v>
      </c>
      <c r="Q64" s="40">
        <v>225495.3</v>
      </c>
      <c r="R64" s="40">
        <v>228658.62</v>
      </c>
      <c r="S64" s="40">
        <v>238302.26</v>
      </c>
      <c r="T64" s="40">
        <v>266571.27</v>
      </c>
      <c r="U64" s="40">
        <v>170008.7</v>
      </c>
      <c r="V64" s="40">
        <v>225300</v>
      </c>
      <c r="W64" s="40">
        <v>225560.85</v>
      </c>
      <c r="X64" s="40">
        <v>224920</v>
      </c>
      <c r="Y64" s="40"/>
      <c r="Z64" s="40"/>
      <c r="AA64" s="989">
        <f t="shared" si="16"/>
        <v>1951834.05</v>
      </c>
      <c r="AB64" s="989">
        <f t="shared" si="17"/>
        <v>224920</v>
      </c>
      <c r="AC64" s="989">
        <f t="shared" si="22"/>
        <v>2176754.0499999998</v>
      </c>
      <c r="AD64" s="989">
        <f t="shared" si="15"/>
        <v>639412.6166666667</v>
      </c>
      <c r="AE64" s="989">
        <f t="shared" si="18"/>
        <v>1202645.9500000002</v>
      </c>
    </row>
    <row r="65" spans="1:31" x14ac:dyDescent="0.25">
      <c r="A65" s="61" t="s">
        <v>72</v>
      </c>
      <c r="B65" s="50"/>
      <c r="C65" s="52">
        <v>60000</v>
      </c>
      <c r="D65" s="720"/>
      <c r="E65" s="991"/>
      <c r="F65" s="720"/>
      <c r="G65" s="720"/>
      <c r="H65" s="1011"/>
      <c r="I65" s="1011"/>
      <c r="J65" s="1011"/>
      <c r="K65" s="991">
        <f t="shared" si="19"/>
        <v>60000</v>
      </c>
      <c r="L65" s="452">
        <f t="shared" si="20"/>
        <v>45000</v>
      </c>
      <c r="M65" s="991">
        <f t="shared" si="23"/>
        <v>5000</v>
      </c>
      <c r="N65" s="57">
        <f t="shared" si="21"/>
        <v>50000</v>
      </c>
      <c r="O65" s="40">
        <v>5000</v>
      </c>
      <c r="P65" s="40">
        <v>5000</v>
      </c>
      <c r="Q65" s="40">
        <v>5000</v>
      </c>
      <c r="R65" s="40">
        <v>5000</v>
      </c>
      <c r="S65" s="40">
        <v>5000</v>
      </c>
      <c r="T65" s="40">
        <v>5000</v>
      </c>
      <c r="U65" s="40">
        <v>5000</v>
      </c>
      <c r="V65" s="40">
        <v>5000</v>
      </c>
      <c r="W65" s="40">
        <v>5000</v>
      </c>
      <c r="X65" s="40">
        <v>5000</v>
      </c>
      <c r="Y65" s="40"/>
      <c r="Z65" s="40"/>
      <c r="AA65" s="989">
        <f t="shared" si="16"/>
        <v>45000</v>
      </c>
      <c r="AB65" s="989">
        <f t="shared" si="17"/>
        <v>5000</v>
      </c>
      <c r="AC65" s="989">
        <f t="shared" si="22"/>
        <v>50000</v>
      </c>
      <c r="AD65" s="989">
        <f t="shared" si="15"/>
        <v>0</v>
      </c>
      <c r="AE65" s="989">
        <f t="shared" si="18"/>
        <v>10000</v>
      </c>
    </row>
    <row r="66" spans="1:31" x14ac:dyDescent="0.25">
      <c r="A66" s="61" t="s">
        <v>73</v>
      </c>
      <c r="B66" s="50"/>
      <c r="C66" s="52">
        <v>60000</v>
      </c>
      <c r="D66" s="720"/>
      <c r="E66" s="991"/>
      <c r="F66" s="720"/>
      <c r="G66" s="720"/>
      <c r="H66" s="1011"/>
      <c r="I66" s="1011"/>
      <c r="J66" s="1011"/>
      <c r="K66" s="991">
        <f t="shared" si="19"/>
        <v>60000</v>
      </c>
      <c r="L66" s="452">
        <f t="shared" si="20"/>
        <v>45000</v>
      </c>
      <c r="M66" s="991">
        <f t="shared" si="23"/>
        <v>5000</v>
      </c>
      <c r="N66" s="57">
        <f t="shared" si="21"/>
        <v>50000</v>
      </c>
      <c r="O66" s="40">
        <v>5000</v>
      </c>
      <c r="P66" s="40">
        <v>5000</v>
      </c>
      <c r="Q66" s="40">
        <v>5000</v>
      </c>
      <c r="R66" s="40">
        <v>5000</v>
      </c>
      <c r="S66" s="40">
        <v>5000</v>
      </c>
      <c r="T66" s="40">
        <v>5000</v>
      </c>
      <c r="U66" s="40">
        <v>5000</v>
      </c>
      <c r="V66" s="40">
        <v>5000</v>
      </c>
      <c r="W66" s="40">
        <v>5000</v>
      </c>
      <c r="X66" s="40">
        <v>5000</v>
      </c>
      <c r="Y66" s="40"/>
      <c r="Z66" s="40"/>
      <c r="AA66" s="989">
        <f t="shared" si="16"/>
        <v>45000</v>
      </c>
      <c r="AB66" s="989">
        <f t="shared" si="17"/>
        <v>5000</v>
      </c>
      <c r="AC66" s="989">
        <f t="shared" si="22"/>
        <v>50000</v>
      </c>
      <c r="AD66" s="989">
        <f t="shared" si="15"/>
        <v>0</v>
      </c>
      <c r="AE66" s="989">
        <f t="shared" si="18"/>
        <v>10000</v>
      </c>
    </row>
    <row r="67" spans="1:31" x14ac:dyDescent="0.25">
      <c r="A67" s="61" t="s">
        <v>74</v>
      </c>
      <c r="B67" s="50"/>
      <c r="C67" s="52">
        <v>60000</v>
      </c>
      <c r="D67" s="720"/>
      <c r="E67" s="991"/>
      <c r="F67" s="720"/>
      <c r="G67" s="720"/>
      <c r="H67" s="1011"/>
      <c r="I67" s="1011"/>
      <c r="J67" s="1011"/>
      <c r="K67" s="991">
        <f t="shared" si="19"/>
        <v>60000</v>
      </c>
      <c r="L67" s="452">
        <f t="shared" si="20"/>
        <v>45000</v>
      </c>
      <c r="M67" s="991">
        <f t="shared" si="23"/>
        <v>5000</v>
      </c>
      <c r="N67" s="57">
        <f t="shared" si="21"/>
        <v>50000</v>
      </c>
      <c r="O67" s="40">
        <v>5000</v>
      </c>
      <c r="P67" s="40">
        <v>5000</v>
      </c>
      <c r="Q67" s="40">
        <v>5000</v>
      </c>
      <c r="R67" s="40">
        <v>5000</v>
      </c>
      <c r="S67" s="40">
        <v>5000</v>
      </c>
      <c r="T67" s="40">
        <v>5000</v>
      </c>
      <c r="U67" s="40">
        <v>5000</v>
      </c>
      <c r="V67" s="40">
        <v>5000</v>
      </c>
      <c r="W67" s="40">
        <v>5000</v>
      </c>
      <c r="X67" s="40">
        <v>5000</v>
      </c>
      <c r="Y67" s="40"/>
      <c r="Z67" s="40"/>
      <c r="AA67" s="989">
        <f t="shared" si="16"/>
        <v>45000</v>
      </c>
      <c r="AB67" s="989">
        <f t="shared" si="17"/>
        <v>5000</v>
      </c>
      <c r="AC67" s="989">
        <f t="shared" si="22"/>
        <v>50000</v>
      </c>
      <c r="AD67" s="989">
        <f t="shared" si="15"/>
        <v>0</v>
      </c>
      <c r="AE67" s="989">
        <f t="shared" si="18"/>
        <v>10000</v>
      </c>
    </row>
    <row r="68" spans="1:31" x14ac:dyDescent="0.25">
      <c r="A68" s="62" t="s">
        <v>75</v>
      </c>
      <c r="B68" s="50" t="s">
        <v>76</v>
      </c>
      <c r="C68" s="52">
        <f>50000</f>
        <v>50000</v>
      </c>
      <c r="D68" s="720"/>
      <c r="E68" s="991"/>
      <c r="F68" s="720"/>
      <c r="G68" s="720"/>
      <c r="H68" s="1011"/>
      <c r="I68" s="1011"/>
      <c r="J68" s="1011"/>
      <c r="K68" s="991">
        <f t="shared" si="19"/>
        <v>50000</v>
      </c>
      <c r="L68" s="452">
        <f t="shared" si="20"/>
        <v>37500</v>
      </c>
      <c r="M68" s="991">
        <f t="shared" si="23"/>
        <v>4166.666666666667</v>
      </c>
      <c r="N68" s="57">
        <f t="shared" si="21"/>
        <v>41666.666666666664</v>
      </c>
      <c r="O68" s="40"/>
      <c r="P68" s="40"/>
      <c r="Q68" s="40">
        <v>300</v>
      </c>
      <c r="R68" s="40"/>
      <c r="S68" s="40"/>
      <c r="T68" s="40"/>
      <c r="U68" s="40"/>
      <c r="V68" s="40"/>
      <c r="W68" s="40"/>
      <c r="X68" s="40"/>
      <c r="Y68" s="40"/>
      <c r="Z68" s="40"/>
      <c r="AA68" s="989">
        <f t="shared" si="16"/>
        <v>300</v>
      </c>
      <c r="AB68" s="989">
        <f t="shared" si="17"/>
        <v>0</v>
      </c>
      <c r="AC68" s="989">
        <f t="shared" si="22"/>
        <v>300</v>
      </c>
      <c r="AD68" s="989">
        <f t="shared" si="15"/>
        <v>41366.666666666664</v>
      </c>
      <c r="AE68" s="989">
        <f t="shared" si="18"/>
        <v>49700</v>
      </c>
    </row>
    <row r="69" spans="1:31" x14ac:dyDescent="0.25">
      <c r="A69" s="62" t="s">
        <v>77</v>
      </c>
      <c r="B69" s="50" t="s">
        <v>76</v>
      </c>
      <c r="C69" s="52">
        <f>100000</f>
        <v>100000</v>
      </c>
      <c r="D69" s="720"/>
      <c r="E69" s="991"/>
      <c r="F69" s="720"/>
      <c r="G69" s="720"/>
      <c r="H69" s="1011"/>
      <c r="I69" s="1011"/>
      <c r="J69" s="1011"/>
      <c r="K69" s="991">
        <f t="shared" si="19"/>
        <v>100000</v>
      </c>
      <c r="L69" s="452">
        <f t="shared" si="20"/>
        <v>75000</v>
      </c>
      <c r="M69" s="991">
        <f t="shared" si="23"/>
        <v>8333.3333333333339</v>
      </c>
      <c r="N69" s="57">
        <f t="shared" si="21"/>
        <v>83333.333333333328</v>
      </c>
      <c r="O69" s="40"/>
      <c r="P69" s="40"/>
      <c r="Q69" s="40">
        <v>980</v>
      </c>
      <c r="R69" s="40"/>
      <c r="S69" s="40"/>
      <c r="T69" s="40">
        <v>27500</v>
      </c>
      <c r="U69" s="40">
        <v>10100</v>
      </c>
      <c r="V69" s="40">
        <v>17900</v>
      </c>
      <c r="W69" s="40"/>
      <c r="X69" s="40"/>
      <c r="Y69" s="40"/>
      <c r="Z69" s="40"/>
      <c r="AA69" s="989">
        <f t="shared" si="16"/>
        <v>56480</v>
      </c>
      <c r="AB69" s="989">
        <f t="shared" si="17"/>
        <v>0</v>
      </c>
      <c r="AC69" s="989">
        <f t="shared" si="22"/>
        <v>56480</v>
      </c>
      <c r="AD69" s="989">
        <f t="shared" si="15"/>
        <v>26853.333333333328</v>
      </c>
      <c r="AE69" s="989">
        <f t="shared" si="18"/>
        <v>43520</v>
      </c>
    </row>
    <row r="70" spans="1:31" x14ac:dyDescent="0.25">
      <c r="A70" s="62" t="s">
        <v>78</v>
      </c>
      <c r="B70" s="50" t="s">
        <v>79</v>
      </c>
      <c r="C70" s="52">
        <v>100000</v>
      </c>
      <c r="D70" s="720"/>
      <c r="E70" s="991"/>
      <c r="F70" s="720"/>
      <c r="G70" s="720"/>
      <c r="H70" s="1011"/>
      <c r="I70" s="1011"/>
      <c r="J70" s="1011">
        <f>250000</f>
        <v>250000</v>
      </c>
      <c r="K70" s="991">
        <f t="shared" si="19"/>
        <v>350000</v>
      </c>
      <c r="L70" s="452">
        <f t="shared" si="20"/>
        <v>262500</v>
      </c>
      <c r="M70" s="991">
        <f t="shared" si="23"/>
        <v>29166.666666666668</v>
      </c>
      <c r="N70" s="57">
        <f t="shared" si="21"/>
        <v>291666.66666666669</v>
      </c>
      <c r="O70" s="40"/>
      <c r="P70" s="40"/>
      <c r="Q70" s="40">
        <v>4098</v>
      </c>
      <c r="R70" s="40"/>
      <c r="S70" s="40">
        <v>6784.15</v>
      </c>
      <c r="T70" s="40"/>
      <c r="U70" s="40"/>
      <c r="V70" s="677">
        <f>211880-15000</f>
        <v>196880</v>
      </c>
      <c r="W70" s="40">
        <v>12796</v>
      </c>
      <c r="X70" s="40">
        <v>4334.1899999999996</v>
      </c>
      <c r="Y70" s="40"/>
      <c r="Z70" s="40"/>
      <c r="AA70" s="989">
        <f t="shared" si="16"/>
        <v>220558.15</v>
      </c>
      <c r="AB70" s="989">
        <f t="shared" si="17"/>
        <v>4334.1899999999996</v>
      </c>
      <c r="AC70" s="989">
        <f t="shared" si="22"/>
        <v>224892.34</v>
      </c>
      <c r="AD70" s="989">
        <f t="shared" si="15"/>
        <v>66774.32666666669</v>
      </c>
      <c r="AE70" s="989">
        <f t="shared" si="18"/>
        <v>125107.66</v>
      </c>
    </row>
    <row r="71" spans="1:31" x14ac:dyDescent="0.25">
      <c r="A71" s="62" t="s">
        <v>80</v>
      </c>
      <c r="B71" s="50" t="s">
        <v>81</v>
      </c>
      <c r="C71" s="52">
        <v>5000</v>
      </c>
      <c r="D71" s="720"/>
      <c r="E71" s="991"/>
      <c r="F71" s="720"/>
      <c r="G71" s="720"/>
      <c r="H71" s="1011"/>
      <c r="I71" s="1011"/>
      <c r="J71" s="1011"/>
      <c r="K71" s="991">
        <f t="shared" si="19"/>
        <v>5000</v>
      </c>
      <c r="L71" s="452">
        <f t="shared" si="20"/>
        <v>3750</v>
      </c>
      <c r="M71" s="991">
        <f t="shared" si="23"/>
        <v>416.66666666666669</v>
      </c>
      <c r="N71" s="57">
        <f t="shared" si="21"/>
        <v>4166.666666666667</v>
      </c>
      <c r="O71" s="40"/>
      <c r="P71" s="40">
        <v>3800</v>
      </c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989">
        <f t="shared" si="16"/>
        <v>3800</v>
      </c>
      <c r="AB71" s="989">
        <f t="shared" si="17"/>
        <v>0</v>
      </c>
      <c r="AC71" s="989">
        <f t="shared" si="22"/>
        <v>3800</v>
      </c>
      <c r="AD71" s="989">
        <f t="shared" si="15"/>
        <v>366.66666666666697</v>
      </c>
      <c r="AE71" s="989">
        <f t="shared" si="18"/>
        <v>1200</v>
      </c>
    </row>
    <row r="72" spans="1:31" x14ac:dyDescent="0.25">
      <c r="A72" s="62" t="s">
        <v>82</v>
      </c>
      <c r="B72" s="50" t="s">
        <v>83</v>
      </c>
      <c r="C72" s="52">
        <f>50000</f>
        <v>50000</v>
      </c>
      <c r="D72" s="720"/>
      <c r="E72" s="991"/>
      <c r="F72" s="720"/>
      <c r="G72" s="720"/>
      <c r="H72" s="1011"/>
      <c r="I72" s="1011"/>
      <c r="J72" s="1011"/>
      <c r="K72" s="991">
        <f t="shared" si="19"/>
        <v>50000</v>
      </c>
      <c r="L72" s="452">
        <f t="shared" si="20"/>
        <v>37500</v>
      </c>
      <c r="M72" s="991">
        <f t="shared" si="23"/>
        <v>4166.666666666667</v>
      </c>
      <c r="N72" s="57">
        <f t="shared" si="21"/>
        <v>41666.666666666664</v>
      </c>
      <c r="O72" s="40"/>
      <c r="P72" s="40"/>
      <c r="Q72" s="40"/>
      <c r="R72" s="40"/>
      <c r="S72" s="40"/>
      <c r="T72" s="40"/>
      <c r="U72" s="40"/>
      <c r="V72" s="40">
        <v>5879</v>
      </c>
      <c r="W72" s="40">
        <v>300</v>
      </c>
      <c r="X72" s="40"/>
      <c r="Y72" s="40"/>
      <c r="Z72" s="40"/>
      <c r="AA72" s="989">
        <f t="shared" si="16"/>
        <v>6179</v>
      </c>
      <c r="AB72" s="989">
        <f t="shared" si="17"/>
        <v>0</v>
      </c>
      <c r="AC72" s="989">
        <f t="shared" si="22"/>
        <v>6179</v>
      </c>
      <c r="AD72" s="989">
        <f t="shared" si="15"/>
        <v>35487.666666666664</v>
      </c>
      <c r="AE72" s="989">
        <f t="shared" si="18"/>
        <v>43821</v>
      </c>
    </row>
    <row r="73" spans="1:31" x14ac:dyDescent="0.25">
      <c r="A73" s="62" t="s">
        <v>84</v>
      </c>
      <c r="B73" s="50" t="s">
        <v>85</v>
      </c>
      <c r="C73" s="52">
        <f>100000</f>
        <v>100000</v>
      </c>
      <c r="D73" s="720"/>
      <c r="E73" s="991"/>
      <c r="F73" s="720"/>
      <c r="G73" s="720"/>
      <c r="H73" s="1011"/>
      <c r="I73" s="1011"/>
      <c r="J73" s="1011"/>
      <c r="K73" s="991">
        <f t="shared" si="19"/>
        <v>100000</v>
      </c>
      <c r="L73" s="452">
        <f t="shared" si="20"/>
        <v>75000</v>
      </c>
      <c r="M73" s="991">
        <f t="shared" si="23"/>
        <v>8333.3333333333339</v>
      </c>
      <c r="N73" s="57">
        <f t="shared" si="21"/>
        <v>83333.333333333328</v>
      </c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989">
        <f t="shared" si="16"/>
        <v>0</v>
      </c>
      <c r="AB73" s="989">
        <f t="shared" si="17"/>
        <v>0</v>
      </c>
      <c r="AC73" s="989">
        <f t="shared" si="22"/>
        <v>0</v>
      </c>
      <c r="AD73" s="989">
        <f t="shared" si="15"/>
        <v>83333.333333333328</v>
      </c>
      <c r="AE73" s="989">
        <f t="shared" si="18"/>
        <v>100000</v>
      </c>
    </row>
    <row r="74" spans="1:31" x14ac:dyDescent="0.25">
      <c r="A74" s="62" t="s">
        <v>86</v>
      </c>
      <c r="B74" s="50" t="s">
        <v>87</v>
      </c>
      <c r="C74" s="52"/>
      <c r="D74" s="720"/>
      <c r="E74" s="991"/>
      <c r="F74" s="720"/>
      <c r="G74" s="720"/>
      <c r="H74" s="1011"/>
      <c r="I74" s="1011"/>
      <c r="J74" s="1011"/>
      <c r="K74" s="991">
        <f t="shared" si="19"/>
        <v>0</v>
      </c>
      <c r="L74" s="452">
        <f t="shared" si="20"/>
        <v>0</v>
      </c>
      <c r="M74" s="991">
        <f t="shared" si="23"/>
        <v>0</v>
      </c>
      <c r="N74" s="57">
        <f t="shared" si="21"/>
        <v>0</v>
      </c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989">
        <f t="shared" si="16"/>
        <v>0</v>
      </c>
      <c r="AB74" s="989">
        <f t="shared" si="17"/>
        <v>0</v>
      </c>
      <c r="AC74" s="989">
        <f t="shared" si="22"/>
        <v>0</v>
      </c>
      <c r="AD74" s="989">
        <f t="shared" si="15"/>
        <v>0</v>
      </c>
      <c r="AE74" s="989">
        <f t="shared" si="18"/>
        <v>0</v>
      </c>
    </row>
    <row r="75" spans="1:31" x14ac:dyDescent="0.25">
      <c r="A75" s="62" t="s">
        <v>88</v>
      </c>
      <c r="B75" s="50"/>
      <c r="C75" s="52">
        <v>30000</v>
      </c>
      <c r="D75" s="720"/>
      <c r="E75" s="991"/>
      <c r="F75" s="720"/>
      <c r="G75" s="720"/>
      <c r="H75" s="1011"/>
      <c r="I75" s="1011"/>
      <c r="J75" s="1011"/>
      <c r="K75" s="991">
        <f t="shared" si="19"/>
        <v>30000</v>
      </c>
      <c r="L75" s="452">
        <f t="shared" si="20"/>
        <v>22500</v>
      </c>
      <c r="M75" s="991">
        <f t="shared" si="23"/>
        <v>2500</v>
      </c>
      <c r="N75" s="57">
        <f t="shared" si="21"/>
        <v>25000</v>
      </c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989">
        <f t="shared" si="16"/>
        <v>0</v>
      </c>
      <c r="AB75" s="989">
        <f t="shared" si="17"/>
        <v>0</v>
      </c>
      <c r="AC75" s="989">
        <f t="shared" si="22"/>
        <v>0</v>
      </c>
      <c r="AD75" s="989">
        <f t="shared" si="15"/>
        <v>25000</v>
      </c>
      <c r="AE75" s="989">
        <f t="shared" si="18"/>
        <v>30000</v>
      </c>
    </row>
    <row r="76" spans="1:31" x14ac:dyDescent="0.25">
      <c r="A76" s="49" t="s">
        <v>89</v>
      </c>
      <c r="B76" s="50"/>
      <c r="C76" s="52">
        <f>5000</f>
        <v>5000</v>
      </c>
      <c r="D76" s="720"/>
      <c r="E76" s="991"/>
      <c r="F76" s="720"/>
      <c r="G76" s="720"/>
      <c r="H76" s="1011"/>
      <c r="I76" s="1011"/>
      <c r="J76" s="1011"/>
      <c r="K76" s="991">
        <f t="shared" si="19"/>
        <v>5000</v>
      </c>
      <c r="L76" s="452">
        <f t="shared" si="20"/>
        <v>3750</v>
      </c>
      <c r="M76" s="991">
        <f t="shared" si="23"/>
        <v>416.66666666666669</v>
      </c>
      <c r="N76" s="57">
        <f t="shared" si="21"/>
        <v>4166.666666666667</v>
      </c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989">
        <f t="shared" si="16"/>
        <v>0</v>
      </c>
      <c r="AB76" s="989">
        <f t="shared" si="17"/>
        <v>0</v>
      </c>
      <c r="AC76" s="989">
        <f t="shared" si="22"/>
        <v>0</v>
      </c>
      <c r="AD76" s="989">
        <f t="shared" si="15"/>
        <v>4166.666666666667</v>
      </c>
      <c r="AE76" s="989">
        <f t="shared" si="18"/>
        <v>5000</v>
      </c>
    </row>
    <row r="77" spans="1:31" x14ac:dyDescent="0.25">
      <c r="A77" s="49" t="s">
        <v>90</v>
      </c>
      <c r="B77" s="50"/>
      <c r="C77" s="52">
        <f>5000</f>
        <v>5000</v>
      </c>
      <c r="D77" s="720"/>
      <c r="E77" s="991"/>
      <c r="F77" s="720"/>
      <c r="G77" s="720"/>
      <c r="H77" s="1011"/>
      <c r="I77" s="1011"/>
      <c r="J77" s="1011"/>
      <c r="K77" s="991">
        <f t="shared" si="19"/>
        <v>5000</v>
      </c>
      <c r="L77" s="452">
        <f t="shared" si="20"/>
        <v>3750</v>
      </c>
      <c r="M77" s="991">
        <f t="shared" si="23"/>
        <v>416.66666666666669</v>
      </c>
      <c r="N77" s="57">
        <f t="shared" si="21"/>
        <v>4166.666666666667</v>
      </c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989">
        <f t="shared" si="16"/>
        <v>0</v>
      </c>
      <c r="AB77" s="989">
        <f t="shared" si="17"/>
        <v>0</v>
      </c>
      <c r="AC77" s="989">
        <f t="shared" si="22"/>
        <v>0</v>
      </c>
      <c r="AD77" s="989">
        <f t="shared" si="15"/>
        <v>4166.666666666667</v>
      </c>
      <c r="AE77" s="989">
        <f t="shared" si="18"/>
        <v>5000</v>
      </c>
    </row>
    <row r="78" spans="1:31" x14ac:dyDescent="0.25">
      <c r="A78" s="49" t="s">
        <v>91</v>
      </c>
      <c r="B78" s="50"/>
      <c r="C78" s="52">
        <f>5000</f>
        <v>5000</v>
      </c>
      <c r="D78" s="720"/>
      <c r="E78" s="991"/>
      <c r="F78" s="720"/>
      <c r="G78" s="720"/>
      <c r="H78" s="1011"/>
      <c r="I78" s="1011"/>
      <c r="J78" s="1011"/>
      <c r="K78" s="991">
        <f t="shared" si="19"/>
        <v>5000</v>
      </c>
      <c r="L78" s="452">
        <f t="shared" si="20"/>
        <v>3750</v>
      </c>
      <c r="M78" s="991">
        <f t="shared" si="23"/>
        <v>416.66666666666669</v>
      </c>
      <c r="N78" s="57">
        <f t="shared" si="21"/>
        <v>4166.666666666667</v>
      </c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989">
        <f t="shared" si="16"/>
        <v>0</v>
      </c>
      <c r="AB78" s="989">
        <f t="shared" si="17"/>
        <v>0</v>
      </c>
      <c r="AC78" s="989">
        <f t="shared" si="22"/>
        <v>0</v>
      </c>
      <c r="AD78" s="989">
        <f t="shared" si="15"/>
        <v>4166.666666666667</v>
      </c>
      <c r="AE78" s="989">
        <f t="shared" si="18"/>
        <v>5000</v>
      </c>
    </row>
    <row r="79" spans="1:31" x14ac:dyDescent="0.25">
      <c r="A79" s="62" t="s">
        <v>92</v>
      </c>
      <c r="B79" s="50" t="s">
        <v>93</v>
      </c>
      <c r="C79" s="52"/>
      <c r="D79" s="720"/>
      <c r="E79" s="991"/>
      <c r="F79" s="720"/>
      <c r="G79" s="720"/>
      <c r="H79" s="1011"/>
      <c r="I79" s="1011"/>
      <c r="J79" s="1011"/>
      <c r="K79" s="991">
        <f t="shared" si="19"/>
        <v>0</v>
      </c>
      <c r="L79" s="452">
        <f t="shared" si="20"/>
        <v>0</v>
      </c>
      <c r="M79" s="991">
        <f t="shared" si="23"/>
        <v>0</v>
      </c>
      <c r="N79" s="57">
        <f t="shared" si="21"/>
        <v>0</v>
      </c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989">
        <f t="shared" si="16"/>
        <v>0</v>
      </c>
      <c r="AB79" s="989">
        <f t="shared" si="17"/>
        <v>0</v>
      </c>
      <c r="AC79" s="989">
        <f t="shared" si="22"/>
        <v>0</v>
      </c>
      <c r="AD79" s="989">
        <f t="shared" si="15"/>
        <v>0</v>
      </c>
      <c r="AE79" s="989">
        <f t="shared" si="18"/>
        <v>0</v>
      </c>
    </row>
    <row r="80" spans="1:31" x14ac:dyDescent="0.25">
      <c r="A80" s="62" t="s">
        <v>94</v>
      </c>
      <c r="B80" s="50"/>
      <c r="C80" s="52">
        <f>180000</f>
        <v>180000</v>
      </c>
      <c r="D80" s="720"/>
      <c r="E80" s="991"/>
      <c r="F80" s="720"/>
      <c r="G80" s="720"/>
      <c r="H80" s="1011"/>
      <c r="I80" s="1011"/>
      <c r="J80" s="1011"/>
      <c r="K80" s="991">
        <f t="shared" si="19"/>
        <v>180000</v>
      </c>
      <c r="L80" s="452">
        <f t="shared" si="20"/>
        <v>135000</v>
      </c>
      <c r="M80" s="991">
        <f t="shared" si="23"/>
        <v>15000</v>
      </c>
      <c r="N80" s="57">
        <f t="shared" si="21"/>
        <v>150000</v>
      </c>
      <c r="O80" s="40"/>
      <c r="P80" s="40">
        <v>20900</v>
      </c>
      <c r="Q80" s="40">
        <v>18500</v>
      </c>
      <c r="R80" s="40">
        <v>46130</v>
      </c>
      <c r="S80" s="40">
        <f>5760+5865</f>
        <v>11625</v>
      </c>
      <c r="T80" s="40">
        <v>2540</v>
      </c>
      <c r="U80" s="40">
        <f>5000+24000</f>
        <v>29000</v>
      </c>
      <c r="V80" s="40">
        <f>15000</f>
        <v>15000</v>
      </c>
      <c r="W80" s="40">
        <v>12100</v>
      </c>
      <c r="X80" s="40">
        <v>17975</v>
      </c>
      <c r="Y80" s="40"/>
      <c r="Z80" s="40"/>
      <c r="AA80" s="989">
        <f t="shared" si="16"/>
        <v>155795</v>
      </c>
      <c r="AB80" s="989">
        <f t="shared" si="17"/>
        <v>17975</v>
      </c>
      <c r="AC80" s="989">
        <f t="shared" si="22"/>
        <v>173770</v>
      </c>
      <c r="AD80" s="989">
        <f t="shared" si="15"/>
        <v>-23770</v>
      </c>
      <c r="AE80" s="989">
        <f t="shared" si="18"/>
        <v>6230</v>
      </c>
    </row>
    <row r="81" spans="1:67" x14ac:dyDescent="0.25">
      <c r="A81" s="49" t="s">
        <v>95</v>
      </c>
      <c r="B81" s="50"/>
      <c r="C81" s="52">
        <f>27000</f>
        <v>27000</v>
      </c>
      <c r="D81" s="720"/>
      <c r="E81" s="991"/>
      <c r="F81" s="720">
        <f>-15000</f>
        <v>-15000</v>
      </c>
      <c r="G81" s="720"/>
      <c r="H81" s="1011"/>
      <c r="I81" s="1011"/>
      <c r="J81" s="1011"/>
      <c r="K81" s="991">
        <f t="shared" si="19"/>
        <v>12000</v>
      </c>
      <c r="L81" s="452">
        <f t="shared" si="20"/>
        <v>9000</v>
      </c>
      <c r="M81" s="991">
        <f t="shared" si="23"/>
        <v>1000</v>
      </c>
      <c r="N81" s="57">
        <f t="shared" si="21"/>
        <v>10000</v>
      </c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989">
        <f t="shared" si="16"/>
        <v>0</v>
      </c>
      <c r="AB81" s="989">
        <f t="shared" si="17"/>
        <v>0</v>
      </c>
      <c r="AC81" s="989">
        <f t="shared" si="22"/>
        <v>0</v>
      </c>
      <c r="AD81" s="989">
        <f t="shared" si="15"/>
        <v>10000</v>
      </c>
      <c r="AE81" s="989">
        <f t="shared" si="18"/>
        <v>12000</v>
      </c>
    </row>
    <row r="82" spans="1:67" x14ac:dyDescent="0.25">
      <c r="A82" s="49" t="s">
        <v>96</v>
      </c>
      <c r="B82" s="50"/>
      <c r="C82" s="52">
        <f>75000</f>
        <v>75000</v>
      </c>
      <c r="D82" s="720"/>
      <c r="E82" s="991"/>
      <c r="F82" s="720"/>
      <c r="G82" s="720"/>
      <c r="H82" s="1011"/>
      <c r="I82" s="1011"/>
      <c r="J82" s="1011"/>
      <c r="K82" s="991">
        <f t="shared" si="19"/>
        <v>75000</v>
      </c>
      <c r="L82" s="452">
        <f t="shared" si="20"/>
        <v>56250</v>
      </c>
      <c r="M82" s="991">
        <f t="shared" si="23"/>
        <v>6250</v>
      </c>
      <c r="N82" s="57">
        <f t="shared" si="21"/>
        <v>62500</v>
      </c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989">
        <f t="shared" si="16"/>
        <v>0</v>
      </c>
      <c r="AB82" s="989">
        <f t="shared" si="17"/>
        <v>0</v>
      </c>
      <c r="AC82" s="989">
        <f t="shared" si="22"/>
        <v>0</v>
      </c>
      <c r="AD82" s="989">
        <f t="shared" si="15"/>
        <v>62500</v>
      </c>
      <c r="AE82" s="989">
        <f t="shared" si="18"/>
        <v>75000</v>
      </c>
    </row>
    <row r="83" spans="1:67" x14ac:dyDescent="0.25">
      <c r="A83" s="62" t="s">
        <v>97</v>
      </c>
      <c r="B83" s="50"/>
      <c r="C83" s="52">
        <f>150000</f>
        <v>150000</v>
      </c>
      <c r="D83" s="720"/>
      <c r="E83" s="991"/>
      <c r="F83" s="720"/>
      <c r="G83" s="720"/>
      <c r="H83" s="1011"/>
      <c r="I83" s="1011"/>
      <c r="J83" s="1011"/>
      <c r="K83" s="991">
        <f t="shared" si="19"/>
        <v>150000</v>
      </c>
      <c r="L83" s="452">
        <f t="shared" si="20"/>
        <v>112500</v>
      </c>
      <c r="M83" s="991">
        <f t="shared" si="23"/>
        <v>12500</v>
      </c>
      <c r="N83" s="57">
        <f t="shared" si="21"/>
        <v>125000</v>
      </c>
      <c r="O83" s="40"/>
      <c r="P83" s="40"/>
      <c r="Q83" s="40"/>
      <c r="R83" s="40"/>
      <c r="S83" s="40"/>
      <c r="T83" s="40">
        <v>4740</v>
      </c>
      <c r="U83" s="40"/>
      <c r="V83" s="40"/>
      <c r="W83" s="40">
        <f>8800+19350+10650</f>
        <v>38800</v>
      </c>
      <c r="X83" s="40">
        <v>33750</v>
      </c>
      <c r="Y83" s="40"/>
      <c r="Z83" s="40"/>
      <c r="AA83" s="989">
        <f t="shared" si="16"/>
        <v>43540</v>
      </c>
      <c r="AB83" s="989">
        <f t="shared" si="17"/>
        <v>33750</v>
      </c>
      <c r="AC83" s="989">
        <f t="shared" si="22"/>
        <v>77290</v>
      </c>
      <c r="AD83" s="989">
        <f t="shared" si="15"/>
        <v>47710</v>
      </c>
      <c r="AE83" s="989">
        <f t="shared" si="18"/>
        <v>72710</v>
      </c>
    </row>
    <row r="84" spans="1:67" x14ac:dyDescent="0.25">
      <c r="A84" s="49" t="s">
        <v>98</v>
      </c>
      <c r="B84" s="50"/>
      <c r="C84" s="52">
        <f>150000</f>
        <v>150000</v>
      </c>
      <c r="D84" s="720"/>
      <c r="E84" s="991"/>
      <c r="F84" s="720"/>
      <c r="G84" s="720"/>
      <c r="H84" s="1011"/>
      <c r="I84" s="1011"/>
      <c r="J84" s="1011"/>
      <c r="K84" s="991">
        <f t="shared" si="19"/>
        <v>150000</v>
      </c>
      <c r="L84" s="452">
        <f t="shared" si="20"/>
        <v>112500</v>
      </c>
      <c r="M84" s="991">
        <f t="shared" si="23"/>
        <v>12500</v>
      </c>
      <c r="N84" s="57">
        <f t="shared" si="21"/>
        <v>125000</v>
      </c>
      <c r="O84" s="40"/>
      <c r="P84" s="40"/>
      <c r="Q84" s="40"/>
      <c r="R84" s="40">
        <v>6000</v>
      </c>
      <c r="S84" s="40">
        <v>42400</v>
      </c>
      <c r="T84" s="40"/>
      <c r="U84" s="40">
        <v>44600</v>
      </c>
      <c r="V84" s="40">
        <v>41260</v>
      </c>
      <c r="W84" s="40"/>
      <c r="X84" s="40"/>
      <c r="Y84" s="40"/>
      <c r="Z84" s="40"/>
      <c r="AA84" s="989">
        <f t="shared" si="16"/>
        <v>134260</v>
      </c>
      <c r="AB84" s="989">
        <f t="shared" si="17"/>
        <v>0</v>
      </c>
      <c r="AC84" s="989">
        <f t="shared" si="22"/>
        <v>134260</v>
      </c>
      <c r="AD84" s="989">
        <f t="shared" si="15"/>
        <v>-9260</v>
      </c>
      <c r="AE84" s="989">
        <f t="shared" si="18"/>
        <v>15740</v>
      </c>
    </row>
    <row r="85" spans="1:67" x14ac:dyDescent="0.25">
      <c r="A85" s="62" t="s">
        <v>99</v>
      </c>
      <c r="B85" s="50" t="s">
        <v>100</v>
      </c>
      <c r="C85" s="52">
        <v>100000</v>
      </c>
      <c r="D85" s="720"/>
      <c r="E85" s="991"/>
      <c r="F85" s="720"/>
      <c r="G85" s="720"/>
      <c r="H85" s="1011"/>
      <c r="I85" s="1011"/>
      <c r="J85" s="1011"/>
      <c r="K85" s="991">
        <f t="shared" si="19"/>
        <v>100000</v>
      </c>
      <c r="L85" s="452">
        <f t="shared" si="20"/>
        <v>75000</v>
      </c>
      <c r="M85" s="991">
        <f t="shared" si="23"/>
        <v>8333.3333333333339</v>
      </c>
      <c r="N85" s="57">
        <f t="shared" si="21"/>
        <v>83333.333333333328</v>
      </c>
      <c r="O85" s="40"/>
      <c r="P85" s="40"/>
      <c r="Q85" s="40"/>
      <c r="R85" s="40"/>
      <c r="S85" s="40"/>
      <c r="T85" s="40"/>
      <c r="U85" s="40"/>
      <c r="V85" s="40"/>
      <c r="W85" s="40"/>
      <c r="X85" s="40">
        <v>5117</v>
      </c>
      <c r="Y85" s="40"/>
      <c r="Z85" s="40"/>
      <c r="AA85" s="989">
        <f t="shared" si="16"/>
        <v>0</v>
      </c>
      <c r="AB85" s="989">
        <f t="shared" si="17"/>
        <v>5117</v>
      </c>
      <c r="AC85" s="989">
        <f t="shared" si="22"/>
        <v>5117</v>
      </c>
      <c r="AD85" s="989">
        <f t="shared" si="15"/>
        <v>78216.333333333328</v>
      </c>
      <c r="AE85" s="989">
        <f t="shared" si="18"/>
        <v>94883</v>
      </c>
    </row>
    <row r="86" spans="1:67" x14ac:dyDescent="0.25">
      <c r="A86" s="62" t="s">
        <v>101</v>
      </c>
      <c r="B86" s="50" t="s">
        <v>102</v>
      </c>
      <c r="C86" s="52">
        <f>30000</f>
        <v>30000</v>
      </c>
      <c r="D86" s="720"/>
      <c r="E86" s="991"/>
      <c r="F86" s="720"/>
      <c r="G86" s="720"/>
      <c r="H86" s="1011"/>
      <c r="I86" s="1011"/>
      <c r="J86" s="1011"/>
      <c r="K86" s="991">
        <f t="shared" si="19"/>
        <v>30000</v>
      </c>
      <c r="L86" s="452">
        <f t="shared" si="20"/>
        <v>22500</v>
      </c>
      <c r="M86" s="991">
        <f t="shared" si="23"/>
        <v>2500</v>
      </c>
      <c r="N86" s="57">
        <f t="shared" si="21"/>
        <v>25000</v>
      </c>
      <c r="O86" s="40"/>
      <c r="P86" s="40"/>
      <c r="Q86" s="40"/>
      <c r="R86" s="40"/>
      <c r="S86" s="40"/>
      <c r="T86" s="40"/>
      <c r="U86" s="40">
        <v>6840</v>
      </c>
      <c r="V86" s="40"/>
      <c r="W86" s="40"/>
      <c r="X86" s="40"/>
      <c r="Y86" s="40"/>
      <c r="Z86" s="40"/>
      <c r="AA86" s="989">
        <f t="shared" si="16"/>
        <v>6840</v>
      </c>
      <c r="AB86" s="989">
        <f t="shared" si="17"/>
        <v>0</v>
      </c>
      <c r="AC86" s="989">
        <f t="shared" si="22"/>
        <v>6840</v>
      </c>
      <c r="AD86" s="989">
        <f t="shared" si="15"/>
        <v>18160</v>
      </c>
      <c r="AE86" s="989">
        <f t="shared" si="18"/>
        <v>23160</v>
      </c>
    </row>
    <row r="87" spans="1:67" x14ac:dyDescent="0.25">
      <c r="A87" s="278" t="s">
        <v>381</v>
      </c>
      <c r="B87" s="50"/>
      <c r="C87" s="52">
        <f>50000</f>
        <v>50000</v>
      </c>
      <c r="D87" s="720"/>
      <c r="E87" s="991"/>
      <c r="F87" s="720"/>
      <c r="G87" s="720"/>
      <c r="H87" s="1011"/>
      <c r="I87" s="1011"/>
      <c r="J87" s="1011"/>
      <c r="K87" s="991">
        <f t="shared" si="19"/>
        <v>50000</v>
      </c>
      <c r="L87" s="452">
        <f t="shared" si="20"/>
        <v>37500</v>
      </c>
      <c r="M87" s="991">
        <f t="shared" si="23"/>
        <v>4166.666666666667</v>
      </c>
      <c r="N87" s="57">
        <f t="shared" si="21"/>
        <v>41666.666666666664</v>
      </c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989">
        <f t="shared" si="16"/>
        <v>0</v>
      </c>
      <c r="AB87" s="989">
        <f t="shared" si="17"/>
        <v>0</v>
      </c>
      <c r="AC87" s="989">
        <f t="shared" si="22"/>
        <v>0</v>
      </c>
      <c r="AD87" s="989">
        <f t="shared" si="15"/>
        <v>41666.666666666664</v>
      </c>
      <c r="AE87" s="989">
        <f t="shared" si="18"/>
        <v>50000</v>
      </c>
    </row>
    <row r="88" spans="1:67" x14ac:dyDescent="0.25">
      <c r="A88" s="278" t="s">
        <v>382</v>
      </c>
      <c r="B88" s="50"/>
      <c r="C88" s="52">
        <f>12000</f>
        <v>12000</v>
      </c>
      <c r="D88" s="720"/>
      <c r="E88" s="991"/>
      <c r="F88" s="720"/>
      <c r="G88" s="720"/>
      <c r="H88" s="1011"/>
      <c r="I88" s="1011"/>
      <c r="J88" s="1011"/>
      <c r="K88" s="991">
        <f t="shared" si="19"/>
        <v>12000</v>
      </c>
      <c r="L88" s="452">
        <f t="shared" si="20"/>
        <v>9000</v>
      </c>
      <c r="M88" s="991">
        <f t="shared" si="23"/>
        <v>1000</v>
      </c>
      <c r="N88" s="57">
        <f t="shared" si="21"/>
        <v>10000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989">
        <f t="shared" si="16"/>
        <v>0</v>
      </c>
      <c r="AB88" s="989">
        <f t="shared" si="17"/>
        <v>0</v>
      </c>
      <c r="AC88" s="989">
        <f t="shared" si="22"/>
        <v>0</v>
      </c>
      <c r="AD88" s="989">
        <f t="shared" si="15"/>
        <v>10000</v>
      </c>
      <c r="AE88" s="989">
        <f t="shared" si="18"/>
        <v>12000</v>
      </c>
    </row>
    <row r="89" spans="1:67" x14ac:dyDescent="0.25">
      <c r="A89" s="62" t="s">
        <v>103</v>
      </c>
      <c r="B89" s="50" t="s">
        <v>104</v>
      </c>
      <c r="C89" s="52">
        <f>2075000</f>
        <v>2075000</v>
      </c>
      <c r="D89" s="720"/>
      <c r="E89" s="991"/>
      <c r="F89" s="720"/>
      <c r="G89" s="720"/>
      <c r="H89" s="1011"/>
      <c r="I89" s="1011"/>
      <c r="J89" s="1011"/>
      <c r="K89" s="991">
        <f t="shared" si="19"/>
        <v>2075000</v>
      </c>
      <c r="L89" s="452">
        <f t="shared" si="20"/>
        <v>1556250</v>
      </c>
      <c r="M89" s="991">
        <f t="shared" si="23"/>
        <v>172916.66666666666</v>
      </c>
      <c r="N89" s="57">
        <f t="shared" si="21"/>
        <v>1729166.6666666667</v>
      </c>
      <c r="O89" s="40"/>
      <c r="P89" s="288">
        <v>20000</v>
      </c>
      <c r="Q89" s="40"/>
      <c r="R89" s="40">
        <v>106200</v>
      </c>
      <c r="S89" s="40">
        <v>151160</v>
      </c>
      <c r="T89" s="40">
        <v>47120</v>
      </c>
      <c r="U89" s="40">
        <v>146120</v>
      </c>
      <c r="V89" s="40">
        <v>119000</v>
      </c>
      <c r="W89" s="40">
        <f>30300+100000</f>
        <v>130300</v>
      </c>
      <c r="X89" s="40">
        <v>221000</v>
      </c>
      <c r="Y89" s="40"/>
      <c r="Z89" s="40"/>
      <c r="AA89" s="989">
        <f t="shared" si="16"/>
        <v>719900</v>
      </c>
      <c r="AB89" s="989">
        <f t="shared" si="17"/>
        <v>221000</v>
      </c>
      <c r="AC89" s="989">
        <f t="shared" si="22"/>
        <v>940900</v>
      </c>
      <c r="AD89" s="989">
        <f t="shared" si="15"/>
        <v>788266.66666666674</v>
      </c>
      <c r="AE89" s="989">
        <f t="shared" si="18"/>
        <v>1134100</v>
      </c>
    </row>
    <row r="90" spans="1:67" x14ac:dyDescent="0.25">
      <c r="A90" s="62" t="s">
        <v>105</v>
      </c>
      <c r="B90" s="279" t="s">
        <v>106</v>
      </c>
      <c r="C90" s="229">
        <f>50000</f>
        <v>50000</v>
      </c>
      <c r="D90" s="693"/>
      <c r="E90" s="394"/>
      <c r="F90" s="693"/>
      <c r="G90" s="693"/>
      <c r="H90" s="1013"/>
      <c r="I90" s="1013"/>
      <c r="J90" s="1013"/>
      <c r="K90" s="991">
        <f t="shared" si="19"/>
        <v>50000</v>
      </c>
      <c r="L90" s="452">
        <f t="shared" si="20"/>
        <v>37500</v>
      </c>
      <c r="M90" s="991">
        <f t="shared" si="23"/>
        <v>4166.666666666667</v>
      </c>
      <c r="N90" s="57">
        <f t="shared" si="21"/>
        <v>41666.666666666664</v>
      </c>
      <c r="O90" s="73"/>
      <c r="P90" s="73">
        <v>2750</v>
      </c>
      <c r="Q90" s="73"/>
      <c r="R90" s="73">
        <v>6000</v>
      </c>
      <c r="S90" s="73">
        <v>11000</v>
      </c>
      <c r="T90" s="73"/>
      <c r="U90" s="73"/>
      <c r="V90" s="73"/>
      <c r="W90" s="73"/>
      <c r="X90" s="73">
        <v>8000</v>
      </c>
      <c r="Y90" s="73"/>
      <c r="Z90" s="73"/>
      <c r="AA90" s="989">
        <f t="shared" si="16"/>
        <v>19750</v>
      </c>
      <c r="AB90" s="989">
        <f t="shared" si="17"/>
        <v>8000</v>
      </c>
      <c r="AC90" s="989">
        <f t="shared" si="22"/>
        <v>27750</v>
      </c>
      <c r="AD90" s="989">
        <f t="shared" si="15"/>
        <v>13916.666666666664</v>
      </c>
      <c r="AE90" s="989">
        <f t="shared" si="18"/>
        <v>22250</v>
      </c>
    </row>
    <row r="91" spans="1:67" x14ac:dyDescent="0.25">
      <c r="A91" s="44" t="s">
        <v>108</v>
      </c>
      <c r="B91" s="280"/>
      <c r="C91" s="290">
        <f>SUM(C32:C90)</f>
        <v>8513863.6400000006</v>
      </c>
      <c r="D91" s="999">
        <f>SUM(D32:D90)</f>
        <v>0</v>
      </c>
      <c r="E91" s="999">
        <f>SUM(E32:E90)</f>
        <v>15180</v>
      </c>
      <c r="F91" s="999">
        <f>SUM(F32:F90)</f>
        <v>-175000</v>
      </c>
      <c r="G91" s="999">
        <f t="shared" ref="G91" si="24">SUM(G32:G90)</f>
        <v>0</v>
      </c>
      <c r="H91" s="999">
        <f t="shared" ref="H91:AE91" si="25">SUM(H32:H90)</f>
        <v>0</v>
      </c>
      <c r="I91" s="999">
        <f t="shared" si="25"/>
        <v>0</v>
      </c>
      <c r="J91" s="999">
        <f t="shared" si="25"/>
        <v>590000</v>
      </c>
      <c r="K91" s="999">
        <f t="shared" si="25"/>
        <v>8944043.6400000006</v>
      </c>
      <c r="L91" s="999">
        <f t="shared" si="25"/>
        <v>6708032.7300000004</v>
      </c>
      <c r="M91" s="999">
        <f t="shared" si="25"/>
        <v>745336.97</v>
      </c>
      <c r="N91" s="999">
        <f t="shared" si="25"/>
        <v>7453369.700000002</v>
      </c>
      <c r="O91" s="999">
        <f t="shared" si="25"/>
        <v>171849.61</v>
      </c>
      <c r="P91" s="999">
        <f t="shared" si="25"/>
        <v>341425.59</v>
      </c>
      <c r="Q91" s="999">
        <f t="shared" si="25"/>
        <v>299581.3</v>
      </c>
      <c r="R91" s="999">
        <f t="shared" si="25"/>
        <v>510284.14</v>
      </c>
      <c r="S91" s="999">
        <f t="shared" si="25"/>
        <v>510248.02</v>
      </c>
      <c r="T91" s="999">
        <f t="shared" si="25"/>
        <v>412403.45</v>
      </c>
      <c r="U91" s="999">
        <f t="shared" si="25"/>
        <v>489230.36</v>
      </c>
      <c r="V91" s="999">
        <f t="shared" si="25"/>
        <v>839345.99</v>
      </c>
      <c r="W91" s="999">
        <f t="shared" si="25"/>
        <v>539575.64</v>
      </c>
      <c r="X91" s="999">
        <f t="shared" si="25"/>
        <v>557557.18999999994</v>
      </c>
      <c r="Y91" s="999">
        <f t="shared" si="25"/>
        <v>0</v>
      </c>
      <c r="Z91" s="999">
        <f t="shared" si="25"/>
        <v>0</v>
      </c>
      <c r="AA91" s="999">
        <f t="shared" si="25"/>
        <v>4113944.1</v>
      </c>
      <c r="AB91" s="999">
        <f t="shared" si="25"/>
        <v>557557.18999999994</v>
      </c>
      <c r="AC91" s="999">
        <f t="shared" si="25"/>
        <v>4671501.29</v>
      </c>
      <c r="AD91" s="999">
        <f t="shared" si="25"/>
        <v>2781868.4100000006</v>
      </c>
      <c r="AE91" s="999">
        <f t="shared" si="25"/>
        <v>4272542.3499999996</v>
      </c>
      <c r="AH91" s="747"/>
      <c r="AI91" s="747"/>
      <c r="AJ91" s="747"/>
      <c r="AK91" s="747"/>
      <c r="AL91" s="747"/>
      <c r="AM91" s="747"/>
      <c r="AN91" s="747"/>
      <c r="AO91" s="747"/>
      <c r="AP91" s="747"/>
      <c r="AQ91" s="747"/>
      <c r="AR91" s="747"/>
      <c r="AS91" s="747"/>
      <c r="AT91" s="747"/>
      <c r="AU91" s="747"/>
      <c r="AV91" s="747"/>
      <c r="AW91" s="747"/>
      <c r="AX91" s="747"/>
      <c r="AY91" s="747"/>
      <c r="AZ91" s="747"/>
      <c r="BA91" s="747"/>
      <c r="BB91" s="747"/>
      <c r="BC91" s="747"/>
      <c r="BD91" s="747"/>
      <c r="BE91" s="747"/>
      <c r="BF91" s="747"/>
      <c r="BG91" s="747"/>
      <c r="BH91" s="747"/>
      <c r="BI91" s="747"/>
      <c r="BJ91" s="747"/>
      <c r="BK91" s="747"/>
      <c r="BL91" s="747"/>
      <c r="BM91" s="747"/>
      <c r="BN91" s="747"/>
      <c r="BO91" s="747"/>
    </row>
    <row r="92" spans="1:67" s="188" customFormat="1" x14ac:dyDescent="0.25">
      <c r="A92" s="294" t="s">
        <v>383</v>
      </c>
      <c r="C92" s="265"/>
      <c r="D92" s="997"/>
      <c r="E92" s="1240"/>
      <c r="F92" s="997"/>
      <c r="G92" s="997"/>
      <c r="H92" s="1014"/>
      <c r="I92" s="1014"/>
      <c r="J92" s="1014"/>
      <c r="K92" s="991">
        <f t="shared" ref="K92:K93" si="26">SUM(C92:J92)</f>
        <v>0</v>
      </c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264"/>
      <c r="AG92" s="264"/>
      <c r="AH92" s="747"/>
      <c r="AI92" s="747"/>
      <c r="AJ92" s="747"/>
      <c r="AK92" s="747"/>
      <c r="AL92" s="747"/>
      <c r="AM92" s="747"/>
      <c r="AN92" s="747"/>
      <c r="AO92" s="747"/>
      <c r="AP92" s="747"/>
      <c r="AQ92" s="747"/>
      <c r="AR92" s="747"/>
      <c r="AS92" s="747"/>
      <c r="AT92" s="747"/>
      <c r="AU92" s="747"/>
      <c r="AV92" s="747"/>
      <c r="AW92" s="747"/>
      <c r="AX92" s="747"/>
      <c r="AY92" s="747"/>
      <c r="AZ92" s="747"/>
      <c r="BA92" s="747"/>
      <c r="BB92" s="747"/>
      <c r="BC92" s="747"/>
      <c r="BD92" s="747"/>
      <c r="BE92" s="747"/>
      <c r="BF92" s="747"/>
      <c r="BG92" s="747"/>
      <c r="BH92" s="747"/>
      <c r="BI92" s="747"/>
      <c r="BJ92" s="747"/>
      <c r="BK92" s="747"/>
      <c r="BL92" s="747"/>
      <c r="BM92" s="747"/>
      <c r="BN92" s="747"/>
      <c r="BO92" s="747"/>
    </row>
    <row r="93" spans="1:67" s="188" customFormat="1" x14ac:dyDescent="0.25">
      <c r="A93" s="295" t="s">
        <v>384</v>
      </c>
      <c r="C93" s="265"/>
      <c r="D93" s="997"/>
      <c r="E93" s="1240"/>
      <c r="F93" s="997"/>
      <c r="G93" s="997"/>
      <c r="H93" s="1014"/>
      <c r="I93" s="1014"/>
      <c r="J93" s="1014"/>
      <c r="K93" s="991">
        <f t="shared" si="26"/>
        <v>0</v>
      </c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989">
        <f t="shared" ref="AA93:AA95" si="27">O93+P93+Q93+R93+S93+T93+U93+V93+W93</f>
        <v>0</v>
      </c>
      <c r="AB93" s="989">
        <f t="shared" ref="AB93:AB95" si="28">X93</f>
        <v>0</v>
      </c>
      <c r="AC93" s="40"/>
      <c r="AD93" s="989">
        <f t="shared" ref="AD93:AD95" si="29">N93-AC93</f>
        <v>0</v>
      </c>
      <c r="AE93" s="989">
        <f t="shared" ref="AE93:AE95" si="30">K93-AC93</f>
        <v>0</v>
      </c>
      <c r="AF93" s="264"/>
      <c r="AG93" s="264"/>
      <c r="AH93" s="747"/>
      <c r="AI93" s="747"/>
      <c r="AJ93" s="747"/>
      <c r="AK93" s="747"/>
      <c r="AL93" s="747"/>
      <c r="AM93" s="747"/>
      <c r="AN93" s="747"/>
      <c r="AO93" s="747"/>
      <c r="AP93" s="747"/>
      <c r="AQ93" s="747"/>
      <c r="AR93" s="747"/>
      <c r="AS93" s="747"/>
      <c r="AT93" s="747"/>
      <c r="AU93" s="747"/>
      <c r="AV93" s="747"/>
      <c r="AW93" s="747"/>
      <c r="AX93" s="747"/>
      <c r="AY93" s="747"/>
      <c r="AZ93" s="747"/>
      <c r="BA93" s="747"/>
      <c r="BB93" s="747"/>
      <c r="BC93" s="747"/>
      <c r="BD93" s="747"/>
      <c r="BE93" s="747"/>
      <c r="BF93" s="747"/>
      <c r="BG93" s="747"/>
      <c r="BH93" s="747"/>
      <c r="BI93" s="747"/>
      <c r="BJ93" s="747"/>
      <c r="BK93" s="747"/>
      <c r="BL93" s="747"/>
      <c r="BM93" s="747"/>
      <c r="BN93" s="747"/>
      <c r="BO93" s="747"/>
    </row>
    <row r="94" spans="1:67" s="188" customFormat="1" x14ac:dyDescent="0.25">
      <c r="A94" s="296" t="s">
        <v>385</v>
      </c>
      <c r="C94" s="265">
        <f>830000</f>
        <v>830000</v>
      </c>
      <c r="D94" s="997"/>
      <c r="E94" s="1240"/>
      <c r="F94" s="997"/>
      <c r="G94" s="997"/>
      <c r="H94" s="1014"/>
      <c r="I94" s="1014"/>
      <c r="J94" s="1014"/>
      <c r="K94" s="991">
        <f t="shared" ref="K94:K95" si="31">SUM(C94:J94)</f>
        <v>830000</v>
      </c>
      <c r="L94" s="452">
        <f t="shared" ref="L94:L95" si="32">K94/12*9</f>
        <v>622500</v>
      </c>
      <c r="M94" s="147">
        <f t="shared" ref="M94:M95" si="33">K94/12</f>
        <v>69166.666666666672</v>
      </c>
      <c r="N94" s="57">
        <f t="shared" ref="N94:N95" si="34">L94+M94</f>
        <v>691666.66666666663</v>
      </c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989">
        <f t="shared" si="27"/>
        <v>0</v>
      </c>
      <c r="AB94" s="989">
        <f t="shared" si="28"/>
        <v>0</v>
      </c>
      <c r="AC94" s="989">
        <f t="shared" ref="AC94:AC95" si="35">AA94+AB94</f>
        <v>0</v>
      </c>
      <c r="AD94" s="989">
        <f t="shared" si="29"/>
        <v>691666.66666666663</v>
      </c>
      <c r="AE94" s="989">
        <f t="shared" si="30"/>
        <v>830000</v>
      </c>
      <c r="AF94" s="264"/>
      <c r="AG94" s="264"/>
      <c r="AH94" s="747"/>
      <c r="AI94" s="747"/>
      <c r="AJ94" s="747"/>
      <c r="AK94" s="747"/>
      <c r="AL94" s="747"/>
      <c r="AM94" s="747"/>
      <c r="AN94" s="747"/>
      <c r="AO94" s="747"/>
      <c r="AP94" s="747"/>
      <c r="AQ94" s="747"/>
      <c r="AR94" s="747"/>
      <c r="AS94" s="747"/>
      <c r="AT94" s="747"/>
      <c r="AU94" s="747"/>
      <c r="AV94" s="747"/>
      <c r="AW94" s="747"/>
      <c r="AX94" s="747"/>
      <c r="AY94" s="747"/>
      <c r="AZ94" s="747"/>
      <c r="BA94" s="747"/>
      <c r="BB94" s="747"/>
      <c r="BC94" s="747"/>
      <c r="BD94" s="747"/>
      <c r="BE94" s="747"/>
      <c r="BF94" s="747"/>
      <c r="BG94" s="747"/>
      <c r="BH94" s="747"/>
      <c r="BI94" s="747"/>
      <c r="BJ94" s="747"/>
      <c r="BK94" s="747"/>
      <c r="BL94" s="747"/>
      <c r="BM94" s="747"/>
      <c r="BN94" s="747"/>
      <c r="BO94" s="747"/>
    </row>
    <row r="95" spans="1:67" s="188" customFormat="1" ht="30" x14ac:dyDescent="0.25">
      <c r="A95" s="297" t="s">
        <v>386</v>
      </c>
      <c r="C95" s="265">
        <f>1420000</f>
        <v>1420000</v>
      </c>
      <c r="D95" s="997"/>
      <c r="E95" s="1240"/>
      <c r="F95" s="997"/>
      <c r="G95" s="997"/>
      <c r="H95" s="1014"/>
      <c r="I95" s="1014"/>
      <c r="J95" s="1014"/>
      <c r="K95" s="991">
        <f t="shared" si="31"/>
        <v>1420000</v>
      </c>
      <c r="L95" s="452">
        <f t="shared" si="32"/>
        <v>1065000</v>
      </c>
      <c r="M95" s="147">
        <f t="shared" si="33"/>
        <v>118333.33333333333</v>
      </c>
      <c r="N95" s="57">
        <f t="shared" si="34"/>
        <v>1183333.3333333333</v>
      </c>
      <c r="O95" s="40"/>
      <c r="P95" s="40"/>
      <c r="Q95" s="40"/>
      <c r="R95" s="40"/>
      <c r="S95" s="40"/>
      <c r="T95" s="40">
        <v>1120867.26</v>
      </c>
      <c r="U95" s="40"/>
      <c r="V95" s="40"/>
      <c r="W95" s="40"/>
      <c r="X95" s="40"/>
      <c r="Y95" s="40"/>
      <c r="Z95" s="40"/>
      <c r="AA95" s="989">
        <f t="shared" si="27"/>
        <v>1120867.26</v>
      </c>
      <c r="AB95" s="989">
        <f t="shared" si="28"/>
        <v>0</v>
      </c>
      <c r="AC95" s="989">
        <f t="shared" si="35"/>
        <v>1120867.26</v>
      </c>
      <c r="AD95" s="989">
        <f t="shared" si="29"/>
        <v>62466.073333333246</v>
      </c>
      <c r="AE95" s="989">
        <f t="shared" si="30"/>
        <v>299132.74</v>
      </c>
      <c r="AF95" s="264"/>
      <c r="AG95" s="264"/>
      <c r="AH95" s="747"/>
      <c r="AI95" s="747"/>
      <c r="AJ95" s="747"/>
      <c r="AK95" s="747"/>
      <c r="AL95" s="747"/>
      <c r="AM95" s="747"/>
      <c r="AN95" s="747"/>
      <c r="AO95" s="747"/>
      <c r="AP95" s="747"/>
      <c r="AQ95" s="747"/>
      <c r="AR95" s="747"/>
      <c r="AS95" s="747"/>
      <c r="AT95" s="747"/>
      <c r="AU95" s="747"/>
      <c r="AV95" s="747"/>
      <c r="AW95" s="747"/>
      <c r="AX95" s="747"/>
      <c r="AY95" s="747"/>
      <c r="AZ95" s="747"/>
      <c r="BA95" s="747"/>
      <c r="BB95" s="747"/>
      <c r="BC95" s="747"/>
      <c r="BD95" s="747"/>
      <c r="BE95" s="747"/>
      <c r="BF95" s="747"/>
      <c r="BG95" s="747"/>
      <c r="BH95" s="747"/>
      <c r="BI95" s="747"/>
      <c r="BJ95" s="747"/>
      <c r="BK95" s="747"/>
      <c r="BL95" s="747"/>
      <c r="BM95" s="747"/>
      <c r="BN95" s="747"/>
      <c r="BO95" s="747"/>
    </row>
    <row r="96" spans="1:67" s="264" customFormat="1" x14ac:dyDescent="0.25">
      <c r="A96" s="294" t="s">
        <v>387</v>
      </c>
      <c r="B96" s="188"/>
      <c r="C96" s="298">
        <f>SUM(C94:C95)</f>
        <v>2250000</v>
      </c>
      <c r="D96" s="298">
        <f>SUM(D94:D95)</f>
        <v>0</v>
      </c>
      <c r="E96" s="1241">
        <f t="shared" ref="E96:F96" si="36">SUM(E94:E95)</f>
        <v>0</v>
      </c>
      <c r="F96" s="298">
        <f t="shared" si="36"/>
        <v>0</v>
      </c>
      <c r="G96" s="298">
        <f>SUM(G94:G95)</f>
        <v>0</v>
      </c>
      <c r="H96" s="298">
        <f t="shared" ref="H96:AE96" si="37">SUM(H94:H95)</f>
        <v>0</v>
      </c>
      <c r="I96" s="298">
        <f t="shared" si="37"/>
        <v>0</v>
      </c>
      <c r="J96" s="298">
        <f t="shared" si="37"/>
        <v>0</v>
      </c>
      <c r="K96" s="298">
        <f t="shared" si="37"/>
        <v>2250000</v>
      </c>
      <c r="L96" s="298">
        <f t="shared" si="37"/>
        <v>1687500</v>
      </c>
      <c r="M96" s="298">
        <f t="shared" si="37"/>
        <v>187500</v>
      </c>
      <c r="N96" s="298">
        <f t="shared" si="37"/>
        <v>1875000</v>
      </c>
      <c r="O96" s="298">
        <f t="shared" si="37"/>
        <v>0</v>
      </c>
      <c r="P96" s="298">
        <f t="shared" si="37"/>
        <v>0</v>
      </c>
      <c r="Q96" s="298">
        <f t="shared" si="37"/>
        <v>0</v>
      </c>
      <c r="R96" s="298">
        <f t="shared" si="37"/>
        <v>0</v>
      </c>
      <c r="S96" s="298">
        <f t="shared" si="37"/>
        <v>0</v>
      </c>
      <c r="T96" s="298">
        <f>SUM(T94:T95)</f>
        <v>1120867.26</v>
      </c>
      <c r="U96" s="298">
        <f t="shared" si="37"/>
        <v>0</v>
      </c>
      <c r="V96" s="298">
        <f t="shared" si="37"/>
        <v>0</v>
      </c>
      <c r="W96" s="298">
        <f t="shared" si="37"/>
        <v>0</v>
      </c>
      <c r="X96" s="298">
        <f t="shared" si="37"/>
        <v>0</v>
      </c>
      <c r="Y96" s="298">
        <f t="shared" si="37"/>
        <v>0</v>
      </c>
      <c r="Z96" s="298">
        <f t="shared" si="37"/>
        <v>0</v>
      </c>
      <c r="AA96" s="298">
        <f t="shared" si="37"/>
        <v>1120867.26</v>
      </c>
      <c r="AB96" s="298">
        <f t="shared" si="37"/>
        <v>0</v>
      </c>
      <c r="AC96" s="298">
        <f t="shared" si="37"/>
        <v>1120867.26</v>
      </c>
      <c r="AD96" s="298">
        <f t="shared" si="37"/>
        <v>754132.73999999987</v>
      </c>
      <c r="AE96" s="298">
        <f t="shared" si="37"/>
        <v>1129132.74</v>
      </c>
      <c r="AH96" s="747"/>
      <c r="AI96" s="747"/>
      <c r="AJ96" s="747"/>
      <c r="AK96" s="747"/>
      <c r="AL96" s="747"/>
      <c r="AM96" s="747"/>
      <c r="AN96" s="747"/>
      <c r="AO96" s="747"/>
      <c r="AP96" s="747"/>
      <c r="AQ96" s="747"/>
      <c r="AR96" s="747"/>
      <c r="AS96" s="747"/>
      <c r="AT96" s="747"/>
      <c r="AU96" s="747"/>
      <c r="AV96" s="747"/>
      <c r="AW96" s="747"/>
      <c r="AX96" s="747"/>
      <c r="AY96" s="747"/>
      <c r="AZ96" s="747"/>
      <c r="BA96" s="747"/>
      <c r="BB96" s="747"/>
      <c r="BC96" s="747"/>
      <c r="BD96" s="747"/>
      <c r="BE96" s="747"/>
      <c r="BF96" s="747"/>
      <c r="BG96" s="747"/>
      <c r="BH96" s="747"/>
      <c r="BI96" s="747"/>
      <c r="BJ96" s="747"/>
      <c r="BK96" s="747"/>
      <c r="BL96" s="747"/>
      <c r="BM96" s="747"/>
      <c r="BN96" s="747"/>
      <c r="BO96" s="747"/>
    </row>
    <row r="97" spans="1:31" x14ac:dyDescent="0.25">
      <c r="A97" s="44" t="s">
        <v>109</v>
      </c>
      <c r="B97" s="57"/>
      <c r="C97" s="52"/>
      <c r="D97" s="720"/>
      <c r="E97" s="991"/>
      <c r="F97" s="720"/>
      <c r="G97" s="720"/>
      <c r="H97" s="1011"/>
      <c r="I97" s="1011"/>
      <c r="J97" s="1011"/>
      <c r="K97" s="290"/>
      <c r="L97" s="188"/>
      <c r="M97" s="147"/>
      <c r="N97" s="57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989">
        <f>O97+P97+Q97+R97+S97+T97+U97+V97+W97</f>
        <v>0</v>
      </c>
      <c r="AB97" s="989">
        <f>X97</f>
        <v>0</v>
      </c>
      <c r="AC97" s="40"/>
      <c r="AD97" s="40"/>
      <c r="AE97" s="40"/>
    </row>
    <row r="98" spans="1:31" x14ac:dyDescent="0.25">
      <c r="A98" s="44" t="s">
        <v>320</v>
      </c>
      <c r="B98" s="57"/>
      <c r="C98" s="52"/>
      <c r="D98" s="720"/>
      <c r="E98" s="991"/>
      <c r="F98" s="720"/>
      <c r="G98" s="720"/>
      <c r="H98" s="1011"/>
      <c r="I98" s="1011"/>
      <c r="J98" s="1011"/>
      <c r="K98" s="290"/>
      <c r="L98" s="188"/>
      <c r="M98" s="147"/>
      <c r="N98" s="57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989">
        <f t="shared" ref="AA98:AA123" si="38">O98+P98+Q98+R98+S98+T98+U98+V98+W98</f>
        <v>0</v>
      </c>
      <c r="AB98" s="989">
        <f t="shared" ref="AB98:AB123" si="39">X98</f>
        <v>0</v>
      </c>
      <c r="AC98" s="40"/>
      <c r="AD98" s="40"/>
      <c r="AE98" s="40"/>
    </row>
    <row r="99" spans="1:31" s="712" customFormat="1" x14ac:dyDescent="0.25">
      <c r="A99" s="767" t="s">
        <v>1010</v>
      </c>
      <c r="B99" s="57" t="s">
        <v>1032</v>
      </c>
      <c r="C99" s="720"/>
      <c r="D99" s="720"/>
      <c r="E99" s="991"/>
      <c r="F99" s="720"/>
      <c r="G99" s="720"/>
      <c r="H99" s="1011"/>
      <c r="I99" s="1011"/>
      <c r="J99" s="1011"/>
      <c r="K99" s="290"/>
      <c r="L99" s="736"/>
      <c r="M99" s="733"/>
      <c r="N99" s="57"/>
      <c r="O99" s="716"/>
      <c r="P99" s="716"/>
      <c r="Q99" s="716"/>
      <c r="R99" s="716"/>
      <c r="S99" s="716"/>
      <c r="T99" s="716"/>
      <c r="U99" s="716"/>
      <c r="V99" s="716"/>
      <c r="W99" s="716"/>
      <c r="X99" s="716"/>
      <c r="Y99" s="716"/>
      <c r="Z99" s="716"/>
      <c r="AA99" s="989">
        <f t="shared" si="38"/>
        <v>0</v>
      </c>
      <c r="AB99" s="989">
        <f t="shared" si="39"/>
        <v>0</v>
      </c>
      <c r="AC99" s="716"/>
      <c r="AD99" s="989">
        <f t="shared" ref="AD99:AD123" si="40">N99-AC99</f>
        <v>0</v>
      </c>
      <c r="AE99" s="989">
        <f t="shared" ref="AE99:AE123" si="41">K99-AC99</f>
        <v>0</v>
      </c>
    </row>
    <row r="100" spans="1:31" s="712" customFormat="1" x14ac:dyDescent="0.25">
      <c r="A100" s="768" t="s">
        <v>1011</v>
      </c>
      <c r="B100" s="57"/>
      <c r="C100" s="720">
        <v>1000000</v>
      </c>
      <c r="D100" s="720"/>
      <c r="E100" s="991"/>
      <c r="F100" s="720"/>
      <c r="G100" s="720"/>
      <c r="H100" s="1011"/>
      <c r="I100" s="1011"/>
      <c r="J100" s="1011"/>
      <c r="K100" s="991">
        <f t="shared" ref="K100:K123" si="42">SUM(C100:J100)</f>
        <v>1000000</v>
      </c>
      <c r="L100" s="996">
        <f>K100</f>
        <v>1000000</v>
      </c>
      <c r="M100" s="733">
        <f t="shared" ref="M100:M123" si="43">K100</f>
        <v>1000000</v>
      </c>
      <c r="N100" s="57">
        <f t="shared" ref="N100:N122" si="44">K100</f>
        <v>1000000</v>
      </c>
      <c r="O100" s="716"/>
      <c r="P100" s="716"/>
      <c r="Q100" s="716"/>
      <c r="R100" s="716"/>
      <c r="S100" s="716"/>
      <c r="T100" s="716"/>
      <c r="U100" s="716"/>
      <c r="V100" s="716"/>
      <c r="W100" s="716"/>
      <c r="X100" s="716"/>
      <c r="Y100" s="716"/>
      <c r="Z100" s="716"/>
      <c r="AA100" s="989">
        <f t="shared" si="38"/>
        <v>0</v>
      </c>
      <c r="AB100" s="989">
        <f t="shared" si="39"/>
        <v>0</v>
      </c>
      <c r="AC100" s="989">
        <f t="shared" ref="AC100:AC123" si="45">AA100+AB100</f>
        <v>0</v>
      </c>
      <c r="AD100" s="989">
        <f t="shared" si="40"/>
        <v>1000000</v>
      </c>
      <c r="AE100" s="989">
        <f t="shared" si="41"/>
        <v>1000000</v>
      </c>
    </row>
    <row r="101" spans="1:31" s="712" customFormat="1" x14ac:dyDescent="0.25">
      <c r="A101" s="378" t="s">
        <v>1031</v>
      </c>
      <c r="B101" s="57"/>
      <c r="C101" s="720">
        <v>874.15</v>
      </c>
      <c r="D101" s="720"/>
      <c r="E101" s="991"/>
      <c r="F101" s="720"/>
      <c r="G101" s="720"/>
      <c r="H101" s="1011">
        <f>-874.15</f>
        <v>-874.15</v>
      </c>
      <c r="I101" s="1011"/>
      <c r="J101" s="1011"/>
      <c r="K101" s="991">
        <f t="shared" si="42"/>
        <v>0</v>
      </c>
      <c r="L101" s="996">
        <f t="shared" ref="L101:L123" si="46">K101</f>
        <v>0</v>
      </c>
      <c r="M101" s="733">
        <f t="shared" si="43"/>
        <v>0</v>
      </c>
      <c r="N101" s="57">
        <f t="shared" si="44"/>
        <v>0</v>
      </c>
      <c r="O101" s="716"/>
      <c r="P101" s="716"/>
      <c r="Q101" s="716"/>
      <c r="R101" s="716"/>
      <c r="S101" s="716"/>
      <c r="T101" s="716"/>
      <c r="U101" s="716"/>
      <c r="V101" s="716"/>
      <c r="W101" s="716"/>
      <c r="X101" s="716"/>
      <c r="Y101" s="716"/>
      <c r="Z101" s="716"/>
      <c r="AA101" s="989">
        <f t="shared" si="38"/>
        <v>0</v>
      </c>
      <c r="AB101" s="989">
        <f t="shared" si="39"/>
        <v>0</v>
      </c>
      <c r="AC101" s="989">
        <f t="shared" si="45"/>
        <v>0</v>
      </c>
      <c r="AD101" s="989">
        <f t="shared" si="40"/>
        <v>0</v>
      </c>
      <c r="AE101" s="989">
        <f t="shared" si="41"/>
        <v>0</v>
      </c>
    </row>
    <row r="102" spans="1:31" s="712" customFormat="1" ht="16.5" x14ac:dyDescent="0.3">
      <c r="A102" s="769" t="s">
        <v>325</v>
      </c>
      <c r="B102" s="57" t="s">
        <v>111</v>
      </c>
      <c r="C102" s="720"/>
      <c r="D102" s="720"/>
      <c r="E102" s="991"/>
      <c r="F102" s="720"/>
      <c r="G102" s="720"/>
      <c r="H102" s="1011"/>
      <c r="I102" s="1011"/>
      <c r="J102" s="1011"/>
      <c r="K102" s="991">
        <f t="shared" si="42"/>
        <v>0</v>
      </c>
      <c r="L102" s="996">
        <f t="shared" si="46"/>
        <v>0</v>
      </c>
      <c r="M102" s="733">
        <f t="shared" si="43"/>
        <v>0</v>
      </c>
      <c r="N102" s="57">
        <f t="shared" si="44"/>
        <v>0</v>
      </c>
      <c r="O102" s="716"/>
      <c r="P102" s="716"/>
      <c r="Q102" s="716"/>
      <c r="R102" s="716"/>
      <c r="S102" s="716"/>
      <c r="T102" s="716"/>
      <c r="U102" s="716"/>
      <c r="V102" s="716"/>
      <c r="W102" s="716"/>
      <c r="X102" s="716"/>
      <c r="Y102" s="716"/>
      <c r="Z102" s="716"/>
      <c r="AA102" s="989">
        <f t="shared" si="38"/>
        <v>0</v>
      </c>
      <c r="AB102" s="989">
        <f t="shared" si="39"/>
        <v>0</v>
      </c>
      <c r="AC102" s="989">
        <f t="shared" si="45"/>
        <v>0</v>
      </c>
      <c r="AD102" s="989">
        <f t="shared" si="40"/>
        <v>0</v>
      </c>
      <c r="AE102" s="989">
        <f t="shared" si="41"/>
        <v>0</v>
      </c>
    </row>
    <row r="103" spans="1:31" s="712" customFormat="1" x14ac:dyDescent="0.25">
      <c r="A103" s="770" t="s">
        <v>1012</v>
      </c>
      <c r="B103" s="57"/>
      <c r="C103" s="720">
        <v>7500</v>
      </c>
      <c r="D103" s="720"/>
      <c r="E103" s="991"/>
      <c r="F103" s="720"/>
      <c r="G103" s="720"/>
      <c r="H103" s="1011">
        <f>-7500</f>
        <v>-7500</v>
      </c>
      <c r="I103" s="1011"/>
      <c r="J103" s="1011"/>
      <c r="K103" s="991">
        <f t="shared" si="42"/>
        <v>0</v>
      </c>
      <c r="L103" s="996">
        <f t="shared" si="46"/>
        <v>0</v>
      </c>
      <c r="M103" s="733">
        <f t="shared" si="43"/>
        <v>0</v>
      </c>
      <c r="N103" s="57">
        <f t="shared" si="44"/>
        <v>0</v>
      </c>
      <c r="O103" s="716"/>
      <c r="P103" s="716"/>
      <c r="Q103" s="716"/>
      <c r="R103" s="716"/>
      <c r="S103" s="716"/>
      <c r="T103" s="716"/>
      <c r="U103" s="716"/>
      <c r="V103" s="716"/>
      <c r="W103" s="716"/>
      <c r="X103" s="716"/>
      <c r="Y103" s="716"/>
      <c r="Z103" s="716"/>
      <c r="AA103" s="989">
        <f t="shared" si="38"/>
        <v>0</v>
      </c>
      <c r="AB103" s="989">
        <f t="shared" si="39"/>
        <v>0</v>
      </c>
      <c r="AC103" s="989">
        <f t="shared" si="45"/>
        <v>0</v>
      </c>
      <c r="AD103" s="989">
        <f t="shared" si="40"/>
        <v>0</v>
      </c>
      <c r="AE103" s="989">
        <f t="shared" si="41"/>
        <v>0</v>
      </c>
    </row>
    <row r="104" spans="1:31" s="712" customFormat="1" x14ac:dyDescent="0.25">
      <c r="A104" s="771" t="s">
        <v>1013</v>
      </c>
      <c r="B104" s="57"/>
      <c r="C104" s="720">
        <v>100</v>
      </c>
      <c r="D104" s="720"/>
      <c r="E104" s="991"/>
      <c r="F104" s="720"/>
      <c r="G104" s="720"/>
      <c r="H104" s="1011">
        <f>-100</f>
        <v>-100</v>
      </c>
      <c r="I104" s="1011"/>
      <c r="J104" s="1011"/>
      <c r="K104" s="991">
        <f t="shared" si="42"/>
        <v>0</v>
      </c>
      <c r="L104" s="996">
        <f t="shared" si="46"/>
        <v>0</v>
      </c>
      <c r="M104" s="733">
        <f t="shared" si="43"/>
        <v>0</v>
      </c>
      <c r="N104" s="57">
        <f t="shared" si="44"/>
        <v>0</v>
      </c>
      <c r="O104" s="716"/>
      <c r="P104" s="716"/>
      <c r="Q104" s="716"/>
      <c r="R104" s="716"/>
      <c r="S104" s="716"/>
      <c r="T104" s="716"/>
      <c r="U104" s="716"/>
      <c r="V104" s="716"/>
      <c r="W104" s="716"/>
      <c r="X104" s="716"/>
      <c r="Y104" s="716"/>
      <c r="Z104" s="716"/>
      <c r="AA104" s="989">
        <f t="shared" si="38"/>
        <v>0</v>
      </c>
      <c r="AB104" s="989">
        <f t="shared" si="39"/>
        <v>0</v>
      </c>
      <c r="AC104" s="989">
        <f t="shared" si="45"/>
        <v>0</v>
      </c>
      <c r="AD104" s="989">
        <f t="shared" si="40"/>
        <v>0</v>
      </c>
      <c r="AE104" s="989">
        <f t="shared" si="41"/>
        <v>0</v>
      </c>
    </row>
    <row r="105" spans="1:31" s="712" customFormat="1" ht="16.5" x14ac:dyDescent="0.3">
      <c r="A105" s="772" t="s">
        <v>1014</v>
      </c>
      <c r="B105" s="57"/>
      <c r="C105" s="720">
        <v>80000</v>
      </c>
      <c r="D105" s="720"/>
      <c r="E105" s="991"/>
      <c r="F105" s="720"/>
      <c r="G105" s="720"/>
      <c r="H105" s="1011"/>
      <c r="I105" s="1011"/>
      <c r="J105" s="1011"/>
      <c r="K105" s="991">
        <f t="shared" si="42"/>
        <v>80000</v>
      </c>
      <c r="L105" s="996">
        <f t="shared" si="46"/>
        <v>80000</v>
      </c>
      <c r="M105" s="733">
        <f t="shared" si="43"/>
        <v>80000</v>
      </c>
      <c r="N105" s="57">
        <f t="shared" si="44"/>
        <v>80000</v>
      </c>
      <c r="O105" s="716"/>
      <c r="P105" s="716"/>
      <c r="Q105" s="716"/>
      <c r="R105" s="716"/>
      <c r="S105" s="716"/>
      <c r="T105" s="716"/>
      <c r="U105" s="716"/>
      <c r="V105" s="716"/>
      <c r="W105" s="716"/>
      <c r="X105" s="716"/>
      <c r="Y105" s="716"/>
      <c r="Z105" s="716"/>
      <c r="AA105" s="989">
        <f t="shared" si="38"/>
        <v>0</v>
      </c>
      <c r="AB105" s="989">
        <f t="shared" si="39"/>
        <v>0</v>
      </c>
      <c r="AC105" s="989">
        <f t="shared" si="45"/>
        <v>0</v>
      </c>
      <c r="AD105" s="989">
        <f t="shared" si="40"/>
        <v>80000</v>
      </c>
      <c r="AE105" s="989">
        <f t="shared" si="41"/>
        <v>80000</v>
      </c>
    </row>
    <row r="106" spans="1:31" s="712" customFormat="1" x14ac:dyDescent="0.25">
      <c r="A106" s="773" t="s">
        <v>1015</v>
      </c>
      <c r="B106" s="57" t="s">
        <v>113</v>
      </c>
      <c r="C106" s="720"/>
      <c r="D106" s="720"/>
      <c r="E106" s="991"/>
      <c r="F106" s="720"/>
      <c r="G106" s="720"/>
      <c r="H106" s="1011"/>
      <c r="I106" s="1011"/>
      <c r="J106" s="1011"/>
      <c r="K106" s="991">
        <f t="shared" si="42"/>
        <v>0</v>
      </c>
      <c r="L106" s="996">
        <f t="shared" si="46"/>
        <v>0</v>
      </c>
      <c r="M106" s="733">
        <f t="shared" si="43"/>
        <v>0</v>
      </c>
      <c r="N106" s="57">
        <f t="shared" si="44"/>
        <v>0</v>
      </c>
      <c r="O106" s="716"/>
      <c r="P106" s="716"/>
      <c r="Q106" s="716"/>
      <c r="R106" s="716"/>
      <c r="S106" s="716"/>
      <c r="T106" s="716"/>
      <c r="U106" s="716"/>
      <c r="V106" s="716"/>
      <c r="W106" s="716"/>
      <c r="X106" s="716"/>
      <c r="Y106" s="716"/>
      <c r="Z106" s="716"/>
      <c r="AA106" s="989">
        <f t="shared" si="38"/>
        <v>0</v>
      </c>
      <c r="AB106" s="989">
        <f t="shared" si="39"/>
        <v>0</v>
      </c>
      <c r="AC106" s="989">
        <f t="shared" si="45"/>
        <v>0</v>
      </c>
      <c r="AD106" s="989">
        <f t="shared" si="40"/>
        <v>0</v>
      </c>
      <c r="AE106" s="989">
        <f t="shared" si="41"/>
        <v>0</v>
      </c>
    </row>
    <row r="107" spans="1:31" s="712" customFormat="1" x14ac:dyDescent="0.25">
      <c r="A107" s="1194" t="s">
        <v>1332</v>
      </c>
      <c r="B107" s="57"/>
      <c r="C107" s="720">
        <v>69450.36</v>
      </c>
      <c r="D107" s="720"/>
      <c r="E107" s="991"/>
      <c r="F107" s="720"/>
      <c r="G107" s="720"/>
      <c r="H107" s="1011"/>
      <c r="I107" s="1011"/>
      <c r="J107" s="1011"/>
      <c r="K107" s="991">
        <f t="shared" si="42"/>
        <v>69450.36</v>
      </c>
      <c r="L107" s="996">
        <f t="shared" si="46"/>
        <v>69450.36</v>
      </c>
      <c r="M107" s="733">
        <f t="shared" si="43"/>
        <v>69450.36</v>
      </c>
      <c r="N107" s="57">
        <f t="shared" si="44"/>
        <v>69450.36</v>
      </c>
      <c r="O107" s="716"/>
      <c r="P107" s="716"/>
      <c r="Q107" s="716"/>
      <c r="R107" s="716">
        <v>39000</v>
      </c>
      <c r="S107" s="716"/>
      <c r="T107" s="716"/>
      <c r="U107" s="716">
        <v>18400</v>
      </c>
      <c r="V107" s="716"/>
      <c r="W107" s="716"/>
      <c r="X107" s="716"/>
      <c r="Y107" s="716"/>
      <c r="Z107" s="716"/>
      <c r="AA107" s="989">
        <f t="shared" si="38"/>
        <v>57400</v>
      </c>
      <c r="AB107" s="989">
        <f t="shared" si="39"/>
        <v>0</v>
      </c>
      <c r="AC107" s="989">
        <f t="shared" si="45"/>
        <v>57400</v>
      </c>
      <c r="AD107" s="989">
        <f t="shared" si="40"/>
        <v>12050.36</v>
      </c>
      <c r="AE107" s="989">
        <f t="shared" si="41"/>
        <v>12050.36</v>
      </c>
    </row>
    <row r="108" spans="1:31" s="712" customFormat="1" x14ac:dyDescent="0.25">
      <c r="A108" s="773" t="s">
        <v>1016</v>
      </c>
      <c r="B108" s="57"/>
      <c r="C108" s="720">
        <v>45</v>
      </c>
      <c r="D108" s="720"/>
      <c r="E108" s="991"/>
      <c r="F108" s="720"/>
      <c r="G108" s="720"/>
      <c r="H108" s="1011">
        <f>-45</f>
        <v>-45</v>
      </c>
      <c r="I108" s="1011"/>
      <c r="J108" s="1011"/>
      <c r="K108" s="991">
        <f t="shared" si="42"/>
        <v>0</v>
      </c>
      <c r="L108" s="996">
        <f t="shared" si="46"/>
        <v>0</v>
      </c>
      <c r="M108" s="733">
        <f t="shared" si="43"/>
        <v>0</v>
      </c>
      <c r="N108" s="57">
        <f t="shared" si="44"/>
        <v>0</v>
      </c>
      <c r="O108" s="716"/>
      <c r="P108" s="716"/>
      <c r="Q108" s="716"/>
      <c r="R108" s="716"/>
      <c r="S108" s="716"/>
      <c r="T108" s="716"/>
      <c r="U108" s="716"/>
      <c r="V108" s="716"/>
      <c r="W108" s="716"/>
      <c r="X108" s="716"/>
      <c r="Y108" s="716"/>
      <c r="Z108" s="716"/>
      <c r="AA108" s="989">
        <f t="shared" si="38"/>
        <v>0</v>
      </c>
      <c r="AB108" s="989">
        <f t="shared" si="39"/>
        <v>0</v>
      </c>
      <c r="AC108" s="989">
        <f t="shared" si="45"/>
        <v>0</v>
      </c>
      <c r="AD108" s="989">
        <f t="shared" si="40"/>
        <v>0</v>
      </c>
      <c r="AE108" s="989">
        <f t="shared" si="41"/>
        <v>0</v>
      </c>
    </row>
    <row r="109" spans="1:31" s="712" customFormat="1" x14ac:dyDescent="0.25">
      <c r="A109" s="773" t="s">
        <v>1017</v>
      </c>
      <c r="B109" s="57"/>
      <c r="C109" s="720">
        <v>35000</v>
      </c>
      <c r="D109" s="720"/>
      <c r="E109" s="991"/>
      <c r="F109" s="720"/>
      <c r="G109" s="720"/>
      <c r="H109" s="1011"/>
      <c r="I109" s="1011"/>
      <c r="J109" s="1011"/>
      <c r="K109" s="991">
        <f t="shared" si="42"/>
        <v>35000</v>
      </c>
      <c r="L109" s="996">
        <f t="shared" si="46"/>
        <v>35000</v>
      </c>
      <c r="M109" s="733">
        <f t="shared" si="43"/>
        <v>35000</v>
      </c>
      <c r="N109" s="57">
        <f t="shared" si="44"/>
        <v>35000</v>
      </c>
      <c r="O109" s="716"/>
      <c r="P109" s="716"/>
      <c r="Q109" s="716"/>
      <c r="R109" s="716"/>
      <c r="S109" s="716"/>
      <c r="T109" s="716"/>
      <c r="U109" s="716"/>
      <c r="V109" s="716"/>
      <c r="W109" s="716"/>
      <c r="X109" s="716"/>
      <c r="Y109" s="716"/>
      <c r="Z109" s="716"/>
      <c r="AA109" s="989">
        <f t="shared" si="38"/>
        <v>0</v>
      </c>
      <c r="AB109" s="989">
        <f t="shared" si="39"/>
        <v>0</v>
      </c>
      <c r="AC109" s="989">
        <f t="shared" si="45"/>
        <v>0</v>
      </c>
      <c r="AD109" s="989">
        <f t="shared" si="40"/>
        <v>35000</v>
      </c>
      <c r="AE109" s="989">
        <f t="shared" si="41"/>
        <v>35000</v>
      </c>
    </row>
    <row r="110" spans="1:31" s="712" customFormat="1" x14ac:dyDescent="0.25">
      <c r="A110" s="768" t="s">
        <v>1018</v>
      </c>
      <c r="B110" s="57"/>
      <c r="C110" s="720">
        <v>60000</v>
      </c>
      <c r="D110" s="720"/>
      <c r="E110" s="991"/>
      <c r="F110" s="720"/>
      <c r="G110" s="720"/>
      <c r="H110" s="1011"/>
      <c r="I110" s="1011"/>
      <c r="J110" s="1011"/>
      <c r="K110" s="991">
        <f t="shared" si="42"/>
        <v>60000</v>
      </c>
      <c r="L110" s="996">
        <f t="shared" si="46"/>
        <v>60000</v>
      </c>
      <c r="M110" s="733">
        <f t="shared" si="43"/>
        <v>60000</v>
      </c>
      <c r="N110" s="57">
        <f t="shared" si="44"/>
        <v>60000</v>
      </c>
      <c r="O110" s="716"/>
      <c r="P110" s="716"/>
      <c r="Q110" s="716"/>
      <c r="R110" s="716"/>
      <c r="S110" s="716"/>
      <c r="T110" s="716"/>
      <c r="U110" s="716"/>
      <c r="V110" s="716"/>
      <c r="W110" s="716"/>
      <c r="X110" s="716"/>
      <c r="Y110" s="716"/>
      <c r="Z110" s="716"/>
      <c r="AA110" s="989">
        <f t="shared" si="38"/>
        <v>0</v>
      </c>
      <c r="AB110" s="989">
        <f t="shared" si="39"/>
        <v>0</v>
      </c>
      <c r="AC110" s="989">
        <f t="shared" si="45"/>
        <v>0</v>
      </c>
      <c r="AD110" s="989">
        <f t="shared" si="40"/>
        <v>60000</v>
      </c>
      <c r="AE110" s="989">
        <f t="shared" si="41"/>
        <v>60000</v>
      </c>
    </row>
    <row r="111" spans="1:31" s="712" customFormat="1" x14ac:dyDescent="0.25">
      <c r="A111" s="774" t="s">
        <v>1019</v>
      </c>
      <c r="B111" s="57" t="s">
        <v>114</v>
      </c>
      <c r="C111" s="720"/>
      <c r="D111" s="720"/>
      <c r="E111" s="991"/>
      <c r="F111" s="720"/>
      <c r="G111" s="720"/>
      <c r="H111" s="1011"/>
      <c r="I111" s="1011"/>
      <c r="J111" s="1011"/>
      <c r="K111" s="991">
        <f t="shared" si="42"/>
        <v>0</v>
      </c>
      <c r="L111" s="996">
        <f t="shared" si="46"/>
        <v>0</v>
      </c>
      <c r="M111" s="733">
        <f t="shared" si="43"/>
        <v>0</v>
      </c>
      <c r="N111" s="57">
        <f t="shared" si="44"/>
        <v>0</v>
      </c>
      <c r="O111" s="716"/>
      <c r="P111" s="716"/>
      <c r="Q111" s="716"/>
      <c r="R111" s="716"/>
      <c r="S111" s="716"/>
      <c r="T111" s="716"/>
      <c r="U111" s="716"/>
      <c r="V111" s="716"/>
      <c r="W111" s="716"/>
      <c r="X111" s="716"/>
      <c r="Y111" s="716"/>
      <c r="Z111" s="716"/>
      <c r="AA111" s="989">
        <f t="shared" si="38"/>
        <v>0</v>
      </c>
      <c r="AB111" s="989">
        <f t="shared" si="39"/>
        <v>0</v>
      </c>
      <c r="AC111" s="989">
        <f t="shared" si="45"/>
        <v>0</v>
      </c>
      <c r="AD111" s="989">
        <f t="shared" si="40"/>
        <v>0</v>
      </c>
      <c r="AE111" s="989">
        <f t="shared" si="41"/>
        <v>0</v>
      </c>
    </row>
    <row r="112" spans="1:31" s="712" customFormat="1" x14ac:dyDescent="0.25">
      <c r="A112" s="773" t="s">
        <v>1020</v>
      </c>
      <c r="B112" s="57"/>
      <c r="C112" s="720">
        <v>50000</v>
      </c>
      <c r="D112" s="720"/>
      <c r="E112" s="991"/>
      <c r="F112" s="720"/>
      <c r="G112" s="720"/>
      <c r="H112" s="1011"/>
      <c r="I112" s="1011"/>
      <c r="J112" s="1011"/>
      <c r="K112" s="991">
        <f t="shared" si="42"/>
        <v>50000</v>
      </c>
      <c r="L112" s="996">
        <f t="shared" si="46"/>
        <v>50000</v>
      </c>
      <c r="M112" s="733">
        <f t="shared" si="43"/>
        <v>50000</v>
      </c>
      <c r="N112" s="57">
        <f t="shared" si="44"/>
        <v>50000</v>
      </c>
      <c r="O112" s="716"/>
      <c r="P112" s="716"/>
      <c r="Q112" s="716"/>
      <c r="R112" s="716"/>
      <c r="S112" s="716"/>
      <c r="T112" s="716"/>
      <c r="U112" s="716"/>
      <c r="V112" s="716"/>
      <c r="W112" s="716"/>
      <c r="X112" s="716"/>
      <c r="Y112" s="716"/>
      <c r="Z112" s="716"/>
      <c r="AA112" s="989">
        <f t="shared" si="38"/>
        <v>0</v>
      </c>
      <c r="AB112" s="989">
        <f t="shared" si="39"/>
        <v>0</v>
      </c>
      <c r="AC112" s="989">
        <f t="shared" si="45"/>
        <v>0</v>
      </c>
      <c r="AD112" s="989">
        <f t="shared" si="40"/>
        <v>50000</v>
      </c>
      <c r="AE112" s="989">
        <f t="shared" si="41"/>
        <v>50000</v>
      </c>
    </row>
    <row r="113" spans="1:31" s="712" customFormat="1" x14ac:dyDescent="0.25">
      <c r="A113" s="773" t="s">
        <v>1021</v>
      </c>
      <c r="B113" s="57"/>
      <c r="C113" s="720">
        <v>20000</v>
      </c>
      <c r="D113" s="720"/>
      <c r="E113" s="991"/>
      <c r="F113" s="720"/>
      <c r="G113" s="720"/>
      <c r="H113" s="1011">
        <f>-20000</f>
        <v>-20000</v>
      </c>
      <c r="I113" s="1011"/>
      <c r="J113" s="1011"/>
      <c r="K113" s="991">
        <f t="shared" si="42"/>
        <v>0</v>
      </c>
      <c r="L113" s="996">
        <f t="shared" si="46"/>
        <v>0</v>
      </c>
      <c r="M113" s="733">
        <f t="shared" si="43"/>
        <v>0</v>
      </c>
      <c r="N113" s="57">
        <f t="shared" si="44"/>
        <v>0</v>
      </c>
      <c r="O113" s="716"/>
      <c r="P113" s="716"/>
      <c r="Q113" s="716"/>
      <c r="R113" s="716"/>
      <c r="S113" s="716"/>
      <c r="T113" s="716"/>
      <c r="U113" s="716"/>
      <c r="V113" s="716"/>
      <c r="W113" s="716"/>
      <c r="X113" s="716"/>
      <c r="Y113" s="716"/>
      <c r="Z113" s="716"/>
      <c r="AA113" s="989">
        <f t="shared" si="38"/>
        <v>0</v>
      </c>
      <c r="AB113" s="989">
        <f t="shared" si="39"/>
        <v>0</v>
      </c>
      <c r="AC113" s="989">
        <f t="shared" si="45"/>
        <v>0</v>
      </c>
      <c r="AD113" s="989">
        <f t="shared" si="40"/>
        <v>0</v>
      </c>
      <c r="AE113" s="989">
        <f t="shared" si="41"/>
        <v>0</v>
      </c>
    </row>
    <row r="114" spans="1:31" s="712" customFormat="1" x14ac:dyDescent="0.25">
      <c r="A114" s="773" t="s">
        <v>1022</v>
      </c>
      <c r="B114" s="57"/>
      <c r="C114" s="720">
        <v>40000</v>
      </c>
      <c r="D114" s="720"/>
      <c r="E114" s="991"/>
      <c r="F114" s="720"/>
      <c r="G114" s="720"/>
      <c r="H114" s="1011"/>
      <c r="I114" s="1011"/>
      <c r="J114" s="1011"/>
      <c r="K114" s="991">
        <f t="shared" si="42"/>
        <v>40000</v>
      </c>
      <c r="L114" s="996">
        <f t="shared" si="46"/>
        <v>40000</v>
      </c>
      <c r="M114" s="733">
        <f t="shared" si="43"/>
        <v>40000</v>
      </c>
      <c r="N114" s="57">
        <f t="shared" si="44"/>
        <v>40000</v>
      </c>
      <c r="O114" s="716"/>
      <c r="P114" s="716"/>
      <c r="Q114" s="716"/>
      <c r="R114" s="716"/>
      <c r="S114" s="716"/>
      <c r="T114" s="716"/>
      <c r="U114" s="716"/>
      <c r="V114" s="716"/>
      <c r="W114" s="716"/>
      <c r="X114" s="716"/>
      <c r="Y114" s="716"/>
      <c r="Z114" s="716"/>
      <c r="AA114" s="989">
        <f t="shared" si="38"/>
        <v>0</v>
      </c>
      <c r="AB114" s="989">
        <f t="shared" si="39"/>
        <v>0</v>
      </c>
      <c r="AC114" s="989">
        <f t="shared" si="45"/>
        <v>0</v>
      </c>
      <c r="AD114" s="989">
        <f t="shared" si="40"/>
        <v>40000</v>
      </c>
      <c r="AE114" s="989">
        <f t="shared" si="41"/>
        <v>40000</v>
      </c>
    </row>
    <row r="115" spans="1:31" s="712" customFormat="1" x14ac:dyDescent="0.25">
      <c r="A115" s="773" t="s">
        <v>1023</v>
      </c>
      <c r="B115" s="57" t="s">
        <v>275</v>
      </c>
      <c r="C115" s="720"/>
      <c r="D115" s="720"/>
      <c r="E115" s="991"/>
      <c r="F115" s="720"/>
      <c r="G115" s="720"/>
      <c r="H115" s="1011"/>
      <c r="I115" s="1011"/>
      <c r="J115" s="1011"/>
      <c r="K115" s="991">
        <f t="shared" si="42"/>
        <v>0</v>
      </c>
      <c r="L115" s="996">
        <f t="shared" si="46"/>
        <v>0</v>
      </c>
      <c r="M115" s="733">
        <f t="shared" si="43"/>
        <v>0</v>
      </c>
      <c r="N115" s="57">
        <f t="shared" si="44"/>
        <v>0</v>
      </c>
      <c r="O115" s="716"/>
      <c r="P115" s="716"/>
      <c r="Q115" s="716"/>
      <c r="R115" s="716"/>
      <c r="S115" s="716"/>
      <c r="T115" s="716"/>
      <c r="U115" s="716"/>
      <c r="V115" s="716"/>
      <c r="W115" s="716"/>
      <c r="X115" s="716"/>
      <c r="Y115" s="716"/>
      <c r="Z115" s="716"/>
      <c r="AA115" s="989">
        <f t="shared" si="38"/>
        <v>0</v>
      </c>
      <c r="AB115" s="989">
        <f t="shared" si="39"/>
        <v>0</v>
      </c>
      <c r="AC115" s="989">
        <f t="shared" si="45"/>
        <v>0</v>
      </c>
      <c r="AD115" s="989">
        <f t="shared" si="40"/>
        <v>0</v>
      </c>
      <c r="AE115" s="989">
        <f t="shared" si="41"/>
        <v>0</v>
      </c>
    </row>
    <row r="116" spans="1:31" s="712" customFormat="1" x14ac:dyDescent="0.25">
      <c r="A116" s="773" t="s">
        <v>1024</v>
      </c>
      <c r="B116" s="57"/>
      <c r="C116" s="720">
        <v>65000</v>
      </c>
      <c r="D116" s="720"/>
      <c r="E116" s="991"/>
      <c r="F116" s="720"/>
      <c r="G116" s="720"/>
      <c r="H116" s="1011">
        <f>-65000</f>
        <v>-65000</v>
      </c>
      <c r="I116" s="1011"/>
      <c r="J116" s="1011"/>
      <c r="K116" s="991">
        <f t="shared" si="42"/>
        <v>0</v>
      </c>
      <c r="L116" s="996">
        <f t="shared" si="46"/>
        <v>0</v>
      </c>
      <c r="M116" s="733">
        <f t="shared" si="43"/>
        <v>0</v>
      </c>
      <c r="N116" s="57">
        <f t="shared" si="44"/>
        <v>0</v>
      </c>
      <c r="O116" s="716"/>
      <c r="P116" s="716"/>
      <c r="Q116" s="716"/>
      <c r="R116" s="716"/>
      <c r="S116" s="716"/>
      <c r="T116" s="716"/>
      <c r="U116" s="716"/>
      <c r="V116" s="716"/>
      <c r="W116" s="716"/>
      <c r="X116" s="716"/>
      <c r="Y116" s="716"/>
      <c r="Z116" s="716"/>
      <c r="AA116" s="989">
        <f t="shared" si="38"/>
        <v>0</v>
      </c>
      <c r="AB116" s="989">
        <f t="shared" si="39"/>
        <v>0</v>
      </c>
      <c r="AC116" s="989">
        <f t="shared" si="45"/>
        <v>0</v>
      </c>
      <c r="AD116" s="989">
        <f t="shared" si="40"/>
        <v>0</v>
      </c>
      <c r="AE116" s="989">
        <f t="shared" si="41"/>
        <v>0</v>
      </c>
    </row>
    <row r="117" spans="1:31" s="712" customFormat="1" x14ac:dyDescent="0.25">
      <c r="A117" s="775" t="s">
        <v>1030</v>
      </c>
      <c r="B117" s="57"/>
      <c r="C117" s="720">
        <v>40658.43</v>
      </c>
      <c r="D117" s="720"/>
      <c r="E117" s="991"/>
      <c r="F117" s="720"/>
      <c r="G117" s="720"/>
      <c r="H117" s="1011">
        <f>-40658.43</f>
        <v>-40658.43</v>
      </c>
      <c r="I117" s="1011"/>
      <c r="J117" s="1011"/>
      <c r="K117" s="991">
        <f t="shared" si="42"/>
        <v>0</v>
      </c>
      <c r="L117" s="996">
        <f t="shared" si="46"/>
        <v>0</v>
      </c>
      <c r="M117" s="733">
        <f t="shared" si="43"/>
        <v>0</v>
      </c>
      <c r="N117" s="57">
        <f t="shared" si="44"/>
        <v>0</v>
      </c>
      <c r="O117" s="716"/>
      <c r="P117" s="716"/>
      <c r="Q117" s="716"/>
      <c r="R117" s="716"/>
      <c r="S117" s="716"/>
      <c r="T117" s="716"/>
      <c r="U117" s="716"/>
      <c r="V117" s="716"/>
      <c r="W117" s="716"/>
      <c r="X117" s="716"/>
      <c r="Y117" s="716"/>
      <c r="Z117" s="716"/>
      <c r="AA117" s="989">
        <f t="shared" si="38"/>
        <v>0</v>
      </c>
      <c r="AB117" s="989">
        <f t="shared" si="39"/>
        <v>0</v>
      </c>
      <c r="AC117" s="989">
        <f t="shared" si="45"/>
        <v>0</v>
      </c>
      <c r="AD117" s="989">
        <f t="shared" si="40"/>
        <v>0</v>
      </c>
      <c r="AE117" s="989">
        <f t="shared" si="41"/>
        <v>0</v>
      </c>
    </row>
    <row r="118" spans="1:31" s="712" customFormat="1" x14ac:dyDescent="0.25">
      <c r="A118" s="773" t="s">
        <v>1025</v>
      </c>
      <c r="B118" s="57" t="s">
        <v>116</v>
      </c>
      <c r="C118" s="720"/>
      <c r="D118" s="720"/>
      <c r="E118" s="991"/>
      <c r="F118" s="720"/>
      <c r="G118" s="720"/>
      <c r="H118" s="1011"/>
      <c r="I118" s="1011"/>
      <c r="J118" s="1011"/>
      <c r="K118" s="991">
        <f t="shared" si="42"/>
        <v>0</v>
      </c>
      <c r="L118" s="996">
        <f t="shared" si="46"/>
        <v>0</v>
      </c>
      <c r="M118" s="733">
        <f t="shared" si="43"/>
        <v>0</v>
      </c>
      <c r="N118" s="57">
        <f t="shared" si="44"/>
        <v>0</v>
      </c>
      <c r="O118" s="716"/>
      <c r="P118" s="716"/>
      <c r="Q118" s="716"/>
      <c r="R118" s="716"/>
      <c r="S118" s="716"/>
      <c r="T118" s="716"/>
      <c r="U118" s="716"/>
      <c r="V118" s="716"/>
      <c r="W118" s="716"/>
      <c r="X118" s="716"/>
      <c r="Y118" s="716"/>
      <c r="Z118" s="716"/>
      <c r="AA118" s="989">
        <f t="shared" si="38"/>
        <v>0</v>
      </c>
      <c r="AB118" s="989">
        <f t="shared" si="39"/>
        <v>0</v>
      </c>
      <c r="AC118" s="989">
        <f t="shared" si="45"/>
        <v>0</v>
      </c>
      <c r="AD118" s="989">
        <f t="shared" si="40"/>
        <v>0</v>
      </c>
      <c r="AE118" s="989">
        <f t="shared" si="41"/>
        <v>0</v>
      </c>
    </row>
    <row r="119" spans="1:31" s="712" customFormat="1" x14ac:dyDescent="0.25">
      <c r="A119" s="773" t="s">
        <v>1026</v>
      </c>
      <c r="B119" s="57"/>
      <c r="C119" s="720">
        <v>150000</v>
      </c>
      <c r="D119" s="720"/>
      <c r="E119" s="991"/>
      <c r="F119" s="720"/>
      <c r="G119" s="720"/>
      <c r="H119" s="1011">
        <f>-120000</f>
        <v>-120000</v>
      </c>
      <c r="I119" s="1011"/>
      <c r="J119" s="1011"/>
      <c r="K119" s="991">
        <f t="shared" si="42"/>
        <v>30000</v>
      </c>
      <c r="L119" s="996">
        <f t="shared" si="46"/>
        <v>30000</v>
      </c>
      <c r="M119" s="733">
        <f t="shared" si="43"/>
        <v>30000</v>
      </c>
      <c r="N119" s="57">
        <f t="shared" si="44"/>
        <v>30000</v>
      </c>
      <c r="O119" s="716"/>
      <c r="P119" s="716"/>
      <c r="Q119" s="716"/>
      <c r="R119" s="716"/>
      <c r="S119" s="716"/>
      <c r="T119" s="716"/>
      <c r="U119" s="716"/>
      <c r="V119" s="716"/>
      <c r="W119" s="716"/>
      <c r="X119" s="716"/>
      <c r="Y119" s="716"/>
      <c r="Z119" s="716"/>
      <c r="AA119" s="989">
        <f t="shared" si="38"/>
        <v>0</v>
      </c>
      <c r="AB119" s="989">
        <f t="shared" si="39"/>
        <v>0</v>
      </c>
      <c r="AC119" s="989">
        <f t="shared" si="45"/>
        <v>0</v>
      </c>
      <c r="AD119" s="989">
        <f t="shared" si="40"/>
        <v>30000</v>
      </c>
      <c r="AE119" s="989">
        <f t="shared" si="41"/>
        <v>30000</v>
      </c>
    </row>
    <row r="120" spans="1:31" s="712" customFormat="1" x14ac:dyDescent="0.25">
      <c r="A120" s="773" t="s">
        <v>1027</v>
      </c>
      <c r="B120" s="57"/>
      <c r="C120" s="720">
        <v>40000</v>
      </c>
      <c r="D120" s="720"/>
      <c r="E120" s="991"/>
      <c r="F120" s="720"/>
      <c r="G120" s="720"/>
      <c r="H120" s="1011">
        <f>-40000</f>
        <v>-40000</v>
      </c>
      <c r="I120" s="1011"/>
      <c r="J120" s="1011"/>
      <c r="K120" s="991">
        <f t="shared" si="42"/>
        <v>0</v>
      </c>
      <c r="L120" s="996">
        <f t="shared" si="46"/>
        <v>0</v>
      </c>
      <c r="M120" s="733">
        <f t="shared" si="43"/>
        <v>0</v>
      </c>
      <c r="N120" s="57">
        <f t="shared" si="44"/>
        <v>0</v>
      </c>
      <c r="O120" s="716"/>
      <c r="P120" s="716"/>
      <c r="Q120" s="716"/>
      <c r="R120" s="716"/>
      <c r="S120" s="716"/>
      <c r="T120" s="716"/>
      <c r="U120" s="716"/>
      <c r="V120" s="716"/>
      <c r="W120" s="716"/>
      <c r="X120" s="716"/>
      <c r="Y120" s="716"/>
      <c r="Z120" s="716"/>
      <c r="AA120" s="989">
        <f t="shared" si="38"/>
        <v>0</v>
      </c>
      <c r="AB120" s="989">
        <f t="shared" si="39"/>
        <v>0</v>
      </c>
      <c r="AC120" s="989">
        <f t="shared" si="45"/>
        <v>0</v>
      </c>
      <c r="AD120" s="989">
        <f t="shared" si="40"/>
        <v>0</v>
      </c>
      <c r="AE120" s="989">
        <f t="shared" si="41"/>
        <v>0</v>
      </c>
    </row>
    <row r="121" spans="1:31" s="712" customFormat="1" x14ac:dyDescent="0.25">
      <c r="A121" s="773" t="s">
        <v>1028</v>
      </c>
      <c r="B121" s="57" t="s">
        <v>118</v>
      </c>
      <c r="C121" s="720"/>
      <c r="D121" s="720"/>
      <c r="E121" s="991"/>
      <c r="F121" s="720"/>
      <c r="G121" s="720"/>
      <c r="H121" s="1011"/>
      <c r="I121" s="1011"/>
      <c r="J121" s="1011"/>
      <c r="K121" s="991">
        <f t="shared" si="42"/>
        <v>0</v>
      </c>
      <c r="L121" s="996">
        <f t="shared" si="46"/>
        <v>0</v>
      </c>
      <c r="M121" s="733">
        <f t="shared" si="43"/>
        <v>0</v>
      </c>
      <c r="N121" s="57">
        <f t="shared" si="44"/>
        <v>0</v>
      </c>
      <c r="O121" s="716"/>
      <c r="P121" s="716"/>
      <c r="Q121" s="716"/>
      <c r="R121" s="716"/>
      <c r="S121" s="716"/>
      <c r="T121" s="716"/>
      <c r="U121" s="716"/>
      <c r="V121" s="716"/>
      <c r="W121" s="716"/>
      <c r="X121" s="716"/>
      <c r="Y121" s="716"/>
      <c r="Z121" s="716"/>
      <c r="AA121" s="989">
        <f t="shared" si="38"/>
        <v>0</v>
      </c>
      <c r="AB121" s="989">
        <f t="shared" si="39"/>
        <v>0</v>
      </c>
      <c r="AC121" s="989">
        <f t="shared" si="45"/>
        <v>0</v>
      </c>
      <c r="AD121" s="989">
        <f t="shared" si="40"/>
        <v>0</v>
      </c>
      <c r="AE121" s="989">
        <f t="shared" si="41"/>
        <v>0</v>
      </c>
    </row>
    <row r="122" spans="1:31" s="712" customFormat="1" x14ac:dyDescent="0.25">
      <c r="A122" s="773" t="s">
        <v>1029</v>
      </c>
      <c r="B122" s="57"/>
      <c r="C122" s="720">
        <v>50000</v>
      </c>
      <c r="D122" s="720"/>
      <c r="E122" s="991"/>
      <c r="F122" s="720"/>
      <c r="G122" s="720"/>
      <c r="H122" s="1011">
        <f>-50000</f>
        <v>-50000</v>
      </c>
      <c r="I122" s="1011"/>
      <c r="J122" s="1011"/>
      <c r="K122" s="991">
        <f t="shared" si="42"/>
        <v>0</v>
      </c>
      <c r="L122" s="996">
        <f t="shared" si="46"/>
        <v>0</v>
      </c>
      <c r="M122" s="733">
        <f t="shared" si="43"/>
        <v>0</v>
      </c>
      <c r="N122" s="57">
        <f t="shared" si="44"/>
        <v>0</v>
      </c>
      <c r="O122" s="716"/>
      <c r="P122" s="716"/>
      <c r="Q122" s="716"/>
      <c r="R122" s="716"/>
      <c r="S122" s="716"/>
      <c r="T122" s="716"/>
      <c r="U122" s="716"/>
      <c r="V122" s="716"/>
      <c r="W122" s="716"/>
      <c r="X122" s="716"/>
      <c r="Y122" s="716"/>
      <c r="Z122" s="716"/>
      <c r="AA122" s="989">
        <f t="shared" si="38"/>
        <v>0</v>
      </c>
      <c r="AB122" s="989">
        <f t="shared" si="39"/>
        <v>0</v>
      </c>
      <c r="AC122" s="989">
        <f t="shared" si="45"/>
        <v>0</v>
      </c>
      <c r="AD122" s="989">
        <f t="shared" si="40"/>
        <v>0</v>
      </c>
      <c r="AE122" s="989">
        <f t="shared" si="41"/>
        <v>0</v>
      </c>
    </row>
    <row r="123" spans="1:31" ht="16.5" x14ac:dyDescent="0.3">
      <c r="A123" s="299"/>
      <c r="B123" s="57"/>
      <c r="C123" s="52"/>
      <c r="D123" s="720"/>
      <c r="E123" s="991"/>
      <c r="F123" s="720"/>
      <c r="G123" s="720"/>
      <c r="H123" s="1011"/>
      <c r="I123" s="1011"/>
      <c r="J123" s="1011"/>
      <c r="K123" s="991">
        <f t="shared" si="42"/>
        <v>0</v>
      </c>
      <c r="L123" s="996">
        <f t="shared" si="46"/>
        <v>0</v>
      </c>
      <c r="M123" s="733">
        <f t="shared" si="43"/>
        <v>0</v>
      </c>
      <c r="N123" s="57">
        <f t="shared" ref="N123" si="47">K123</f>
        <v>0</v>
      </c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989">
        <f t="shared" si="38"/>
        <v>0</v>
      </c>
      <c r="AB123" s="989">
        <f t="shared" si="39"/>
        <v>0</v>
      </c>
      <c r="AC123" s="989">
        <f t="shared" si="45"/>
        <v>0</v>
      </c>
      <c r="AD123" s="989">
        <f t="shared" si="40"/>
        <v>0</v>
      </c>
      <c r="AE123" s="989">
        <f t="shared" si="41"/>
        <v>0</v>
      </c>
    </row>
    <row r="124" spans="1:31" s="300" customFormat="1" x14ac:dyDescent="0.25">
      <c r="A124" s="44" t="s">
        <v>322</v>
      </c>
      <c r="B124" s="65"/>
      <c r="C124" s="78">
        <f>SUM(C99:C123)</f>
        <v>1708627.94</v>
      </c>
      <c r="D124" s="726">
        <f>SUM(D99:D123)</f>
        <v>0</v>
      </c>
      <c r="E124" s="999">
        <f t="shared" ref="E124:F124" si="48">SUM(E99:E123)</f>
        <v>0</v>
      </c>
      <c r="F124" s="726">
        <f t="shared" si="48"/>
        <v>0</v>
      </c>
      <c r="G124" s="726">
        <f t="shared" ref="G124" si="49">SUM(G99:G123)</f>
        <v>0</v>
      </c>
      <c r="H124" s="726">
        <f t="shared" ref="H124:AE124" si="50">SUM(H99:H123)</f>
        <v>-344177.57999999996</v>
      </c>
      <c r="I124" s="726">
        <f t="shared" si="50"/>
        <v>0</v>
      </c>
      <c r="J124" s="726">
        <f t="shared" si="50"/>
        <v>0</v>
      </c>
      <c r="K124" s="726">
        <f t="shared" si="50"/>
        <v>1364450.36</v>
      </c>
      <c r="L124" s="726">
        <f t="shared" si="50"/>
        <v>1364450.36</v>
      </c>
      <c r="M124" s="726">
        <f t="shared" si="50"/>
        <v>1364450.36</v>
      </c>
      <c r="N124" s="726">
        <f t="shared" si="50"/>
        <v>1364450.36</v>
      </c>
      <c r="O124" s="726">
        <f t="shared" si="50"/>
        <v>0</v>
      </c>
      <c r="P124" s="726">
        <f t="shared" si="50"/>
        <v>0</v>
      </c>
      <c r="Q124" s="726">
        <f t="shared" si="50"/>
        <v>0</v>
      </c>
      <c r="R124" s="726">
        <f t="shared" si="50"/>
        <v>39000</v>
      </c>
      <c r="S124" s="726">
        <f t="shared" si="50"/>
        <v>0</v>
      </c>
      <c r="T124" s="726">
        <f t="shared" si="50"/>
        <v>0</v>
      </c>
      <c r="U124" s="726">
        <f t="shared" si="50"/>
        <v>18400</v>
      </c>
      <c r="V124" s="726">
        <f t="shared" si="50"/>
        <v>0</v>
      </c>
      <c r="W124" s="726">
        <f t="shared" si="50"/>
        <v>0</v>
      </c>
      <c r="X124" s="726">
        <f t="shared" si="50"/>
        <v>0</v>
      </c>
      <c r="Y124" s="726">
        <f t="shared" si="50"/>
        <v>0</v>
      </c>
      <c r="Z124" s="726">
        <f t="shared" si="50"/>
        <v>0</v>
      </c>
      <c r="AA124" s="726">
        <f t="shared" si="50"/>
        <v>57400</v>
      </c>
      <c r="AB124" s="726">
        <f t="shared" si="50"/>
        <v>0</v>
      </c>
      <c r="AC124" s="726">
        <f t="shared" si="50"/>
        <v>57400</v>
      </c>
      <c r="AD124" s="726">
        <f t="shared" si="50"/>
        <v>1307050.3600000001</v>
      </c>
      <c r="AE124" s="726">
        <f t="shared" si="50"/>
        <v>1307050.3600000001</v>
      </c>
    </row>
    <row r="125" spans="1:31" ht="16.5" customHeight="1" x14ac:dyDescent="0.25">
      <c r="A125" s="44" t="s">
        <v>319</v>
      </c>
      <c r="B125" s="57"/>
      <c r="C125" s="52"/>
      <c r="D125" s="720"/>
      <c r="E125" s="991"/>
      <c r="F125" s="720"/>
      <c r="G125" s="720"/>
      <c r="H125" s="1011"/>
      <c r="I125" s="1011"/>
      <c r="J125" s="1011"/>
      <c r="K125" s="290"/>
      <c r="L125" s="188"/>
      <c r="M125" s="147"/>
      <c r="N125" s="57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</row>
    <row r="126" spans="1:31" ht="16.5" customHeight="1" x14ac:dyDescent="0.25">
      <c r="A126" s="284" t="s">
        <v>388</v>
      </c>
      <c r="B126" s="57"/>
      <c r="C126" s="52"/>
      <c r="D126" s="720"/>
      <c r="E126" s="991"/>
      <c r="F126" s="720"/>
      <c r="G126" s="720"/>
      <c r="H126" s="1011"/>
      <c r="I126" s="1011"/>
      <c r="J126" s="1011"/>
      <c r="K126" s="290"/>
      <c r="L126" s="188"/>
      <c r="M126" s="147"/>
      <c r="N126" s="57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989">
        <f t="shared" ref="AA126:AA138" si="51">O126+P126+Q126+R126+S126+T126+U126+V126+W126</f>
        <v>0</v>
      </c>
      <c r="AB126" s="989">
        <f t="shared" ref="AB126:AB138" si="52">X126</f>
        <v>0</v>
      </c>
      <c r="AC126" s="40"/>
      <c r="AD126" s="989">
        <f t="shared" ref="AD126:AD137" si="53">N126-AC126</f>
        <v>0</v>
      </c>
      <c r="AE126" s="989">
        <f t="shared" ref="AE126:AE137" si="54">K126-AC126</f>
        <v>0</v>
      </c>
    </row>
    <row r="127" spans="1:31" ht="16.5" customHeight="1" x14ac:dyDescent="0.25">
      <c r="A127" s="276" t="s">
        <v>321</v>
      </c>
      <c r="B127" s="57"/>
      <c r="C127" s="52">
        <f>1000000</f>
        <v>1000000</v>
      </c>
      <c r="D127" s="720"/>
      <c r="E127" s="991"/>
      <c r="F127" s="720"/>
      <c r="G127" s="720"/>
      <c r="H127" s="1011"/>
      <c r="I127" s="1011"/>
      <c r="J127" s="1011"/>
      <c r="K127" s="991">
        <f t="shared" ref="K127:K137" si="55">SUM(C127:J127)</f>
        <v>1000000</v>
      </c>
      <c r="L127" s="996">
        <f t="shared" ref="L127:L137" si="56">K127</f>
        <v>1000000</v>
      </c>
      <c r="M127" s="147">
        <f>K127</f>
        <v>1000000</v>
      </c>
      <c r="N127" s="57">
        <f t="shared" ref="N127:N132" si="57">K127</f>
        <v>1000000</v>
      </c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989">
        <f t="shared" si="51"/>
        <v>0</v>
      </c>
      <c r="AB127" s="989">
        <f t="shared" si="52"/>
        <v>0</v>
      </c>
      <c r="AC127" s="989">
        <f t="shared" ref="AC127:AC133" si="58">AA127+AB127</f>
        <v>0</v>
      </c>
      <c r="AD127" s="989">
        <f t="shared" si="53"/>
        <v>1000000</v>
      </c>
      <c r="AE127" s="989">
        <f t="shared" si="54"/>
        <v>1000000</v>
      </c>
    </row>
    <row r="128" spans="1:31" x14ac:dyDescent="0.25">
      <c r="A128" s="286" t="s">
        <v>325</v>
      </c>
      <c r="B128" s="67"/>
      <c r="C128" s="52"/>
      <c r="D128" s="720"/>
      <c r="E128" s="991"/>
      <c r="F128" s="720"/>
      <c r="G128" s="720"/>
      <c r="H128" s="1011"/>
      <c r="I128" s="1011"/>
      <c r="J128" s="1011"/>
      <c r="K128" s="991">
        <f t="shared" si="55"/>
        <v>0</v>
      </c>
      <c r="L128" s="996">
        <f t="shared" si="56"/>
        <v>0</v>
      </c>
      <c r="M128" s="147">
        <f t="shared" ref="M128:M132" si="59">K128</f>
        <v>0</v>
      </c>
      <c r="N128" s="57">
        <f t="shared" si="57"/>
        <v>0</v>
      </c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989">
        <f t="shared" si="51"/>
        <v>0</v>
      </c>
      <c r="AB128" s="989">
        <f t="shared" si="52"/>
        <v>0</v>
      </c>
      <c r="AC128" s="989">
        <f t="shared" si="58"/>
        <v>0</v>
      </c>
      <c r="AD128" s="989">
        <f t="shared" si="53"/>
        <v>0</v>
      </c>
      <c r="AE128" s="989">
        <f t="shared" si="54"/>
        <v>0</v>
      </c>
    </row>
    <row r="129" spans="1:33" x14ac:dyDescent="0.25">
      <c r="A129" s="277" t="s">
        <v>389</v>
      </c>
      <c r="B129" s="54"/>
      <c r="C129" s="52">
        <f>10000</f>
        <v>10000</v>
      </c>
      <c r="D129" s="720"/>
      <c r="E129" s="991"/>
      <c r="F129" s="720"/>
      <c r="G129" s="720"/>
      <c r="H129" s="1011"/>
      <c r="I129" s="1011"/>
      <c r="J129" s="1011"/>
      <c r="K129" s="991">
        <f t="shared" si="55"/>
        <v>10000</v>
      </c>
      <c r="L129" s="996">
        <f t="shared" si="56"/>
        <v>10000</v>
      </c>
      <c r="M129" s="147">
        <f t="shared" si="59"/>
        <v>10000</v>
      </c>
      <c r="N129" s="57">
        <f t="shared" si="57"/>
        <v>10000</v>
      </c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989">
        <f t="shared" si="51"/>
        <v>0</v>
      </c>
      <c r="AB129" s="989">
        <f t="shared" si="52"/>
        <v>0</v>
      </c>
      <c r="AC129" s="989">
        <f t="shared" si="58"/>
        <v>0</v>
      </c>
      <c r="AD129" s="989">
        <f t="shared" si="53"/>
        <v>10000</v>
      </c>
      <c r="AE129" s="989">
        <f t="shared" si="54"/>
        <v>10000</v>
      </c>
    </row>
    <row r="130" spans="1:33" x14ac:dyDescent="0.25">
      <c r="A130" s="287" t="s">
        <v>390</v>
      </c>
      <c r="B130" s="54"/>
      <c r="C130" s="52"/>
      <c r="D130" s="720"/>
      <c r="E130" s="991"/>
      <c r="F130" s="720"/>
      <c r="G130" s="720"/>
      <c r="H130" s="1011"/>
      <c r="I130" s="1011"/>
      <c r="J130" s="1011"/>
      <c r="K130" s="991">
        <f t="shared" si="55"/>
        <v>0</v>
      </c>
      <c r="L130" s="996">
        <f t="shared" si="56"/>
        <v>0</v>
      </c>
      <c r="M130" s="147">
        <f t="shared" si="59"/>
        <v>0</v>
      </c>
      <c r="N130" s="57">
        <f t="shared" si="57"/>
        <v>0</v>
      </c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989">
        <f t="shared" si="51"/>
        <v>0</v>
      </c>
      <c r="AB130" s="989">
        <f t="shared" si="52"/>
        <v>0</v>
      </c>
      <c r="AC130" s="989">
        <f t="shared" si="58"/>
        <v>0</v>
      </c>
      <c r="AD130" s="989">
        <f t="shared" si="53"/>
        <v>0</v>
      </c>
      <c r="AE130" s="989">
        <f t="shared" si="54"/>
        <v>0</v>
      </c>
    </row>
    <row r="131" spans="1:33" x14ac:dyDescent="0.25">
      <c r="A131" s="277" t="s">
        <v>391</v>
      </c>
      <c r="B131" s="54"/>
      <c r="C131" s="52">
        <f>80000</f>
        <v>80000</v>
      </c>
      <c r="D131" s="720"/>
      <c r="E131" s="991"/>
      <c r="F131" s="720"/>
      <c r="G131" s="720"/>
      <c r="H131" s="1011"/>
      <c r="I131" s="1011"/>
      <c r="J131" s="1011"/>
      <c r="K131" s="991">
        <f t="shared" si="55"/>
        <v>80000</v>
      </c>
      <c r="L131" s="996">
        <f t="shared" si="56"/>
        <v>80000</v>
      </c>
      <c r="M131" s="147">
        <f t="shared" si="59"/>
        <v>80000</v>
      </c>
      <c r="N131" s="57">
        <f t="shared" si="57"/>
        <v>80000</v>
      </c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989">
        <f t="shared" si="51"/>
        <v>0</v>
      </c>
      <c r="AB131" s="989">
        <f t="shared" si="52"/>
        <v>0</v>
      </c>
      <c r="AC131" s="989">
        <f t="shared" si="58"/>
        <v>0</v>
      </c>
      <c r="AD131" s="989">
        <f t="shared" si="53"/>
        <v>80000</v>
      </c>
      <c r="AE131" s="989">
        <f t="shared" si="54"/>
        <v>80000</v>
      </c>
    </row>
    <row r="132" spans="1:33" x14ac:dyDescent="0.25">
      <c r="A132" s="287" t="s">
        <v>392</v>
      </c>
      <c r="B132" s="861"/>
      <c r="C132" s="52"/>
      <c r="D132" s="720"/>
      <c r="E132" s="991"/>
      <c r="F132" s="720"/>
      <c r="G132" s="720"/>
      <c r="H132" s="1011"/>
      <c r="I132" s="1011"/>
      <c r="J132" s="1011"/>
      <c r="K132" s="991">
        <f t="shared" si="55"/>
        <v>0</v>
      </c>
      <c r="L132" s="996">
        <f t="shared" si="56"/>
        <v>0</v>
      </c>
      <c r="M132" s="147">
        <f t="shared" si="59"/>
        <v>0</v>
      </c>
      <c r="N132" s="57">
        <f t="shared" si="57"/>
        <v>0</v>
      </c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989">
        <f t="shared" si="51"/>
        <v>0</v>
      </c>
      <c r="AB132" s="989">
        <f t="shared" si="52"/>
        <v>0</v>
      </c>
      <c r="AC132" s="989">
        <f t="shared" si="58"/>
        <v>0</v>
      </c>
      <c r="AD132" s="989">
        <f t="shared" si="53"/>
        <v>0</v>
      </c>
      <c r="AE132" s="989">
        <f t="shared" si="54"/>
        <v>0</v>
      </c>
    </row>
    <row r="133" spans="1:33" s="300" customFormat="1" x14ac:dyDescent="0.25">
      <c r="A133" s="278" t="s">
        <v>393</v>
      </c>
      <c r="B133" s="861"/>
      <c r="C133" s="52">
        <f>50000</f>
        <v>50000</v>
      </c>
      <c r="D133" s="720"/>
      <c r="E133" s="991"/>
      <c r="F133" s="720"/>
      <c r="G133" s="720"/>
      <c r="H133" s="1011"/>
      <c r="I133" s="1011"/>
      <c r="J133" s="1011"/>
      <c r="K133" s="991">
        <f t="shared" si="55"/>
        <v>50000</v>
      </c>
      <c r="L133" s="996">
        <f>K133</f>
        <v>50000</v>
      </c>
      <c r="M133" s="147">
        <f>K133</f>
        <v>50000</v>
      </c>
      <c r="N133" s="57">
        <f>K133</f>
        <v>50000</v>
      </c>
      <c r="O133" s="301"/>
      <c r="P133" s="301"/>
      <c r="Q133" s="301"/>
      <c r="R133" s="301"/>
      <c r="S133" s="301"/>
      <c r="T133" s="301"/>
      <c r="U133" s="301"/>
      <c r="V133" s="301"/>
      <c r="W133" s="301"/>
      <c r="X133" s="301"/>
      <c r="Y133" s="301"/>
      <c r="Z133" s="301"/>
      <c r="AA133" s="989">
        <f t="shared" si="51"/>
        <v>0</v>
      </c>
      <c r="AB133" s="989">
        <f t="shared" si="52"/>
        <v>0</v>
      </c>
      <c r="AC133" s="989">
        <f t="shared" si="58"/>
        <v>0</v>
      </c>
      <c r="AD133" s="989">
        <f t="shared" si="53"/>
        <v>50000</v>
      </c>
      <c r="AE133" s="989">
        <f t="shared" si="54"/>
        <v>50000</v>
      </c>
    </row>
    <row r="134" spans="1:33" s="995" customFormat="1" ht="26.25" x14ac:dyDescent="0.25">
      <c r="A134" s="1098" t="s">
        <v>1223</v>
      </c>
      <c r="B134" s="1097" t="s">
        <v>1221</v>
      </c>
      <c r="C134" s="720"/>
      <c r="D134" s="720"/>
      <c r="E134" s="991"/>
      <c r="F134" s="720"/>
      <c r="G134" s="720"/>
      <c r="H134" s="1011"/>
      <c r="I134" s="1011"/>
      <c r="J134" s="1011">
        <v>700000</v>
      </c>
      <c r="K134" s="991">
        <f t="shared" si="55"/>
        <v>700000</v>
      </c>
      <c r="L134" s="996">
        <f t="shared" si="56"/>
        <v>700000</v>
      </c>
      <c r="M134" s="991">
        <f t="shared" ref="M134:M137" si="60">K134</f>
        <v>700000</v>
      </c>
      <c r="N134" s="57">
        <f t="shared" ref="N134:N137" si="61">K134</f>
        <v>700000</v>
      </c>
      <c r="O134" s="301"/>
      <c r="P134" s="301"/>
      <c r="Q134" s="301"/>
      <c r="R134" s="301"/>
      <c r="S134" s="301"/>
      <c r="T134" s="301"/>
      <c r="U134" s="301"/>
      <c r="V134" s="301"/>
      <c r="W134" s="301"/>
      <c r="X134" s="301"/>
      <c r="Y134" s="301"/>
      <c r="Z134" s="301"/>
      <c r="AA134" s="989">
        <f t="shared" si="51"/>
        <v>0</v>
      </c>
      <c r="AB134" s="989">
        <f t="shared" si="52"/>
        <v>0</v>
      </c>
      <c r="AC134" s="989">
        <f t="shared" ref="AC134:AC137" si="62">AA134+AB134</f>
        <v>0</v>
      </c>
      <c r="AD134" s="989">
        <f t="shared" si="53"/>
        <v>700000</v>
      </c>
      <c r="AE134" s="989">
        <f t="shared" si="54"/>
        <v>700000</v>
      </c>
    </row>
    <row r="135" spans="1:33" s="995" customFormat="1" x14ac:dyDescent="0.25">
      <c r="A135" s="389" t="s">
        <v>1224</v>
      </c>
      <c r="B135" s="861" t="s">
        <v>1222</v>
      </c>
      <c r="C135" s="720"/>
      <c r="D135" s="720"/>
      <c r="E135" s="991"/>
      <c r="F135" s="720"/>
      <c r="G135" s="720"/>
      <c r="H135" s="1011"/>
      <c r="I135" s="1011"/>
      <c r="J135" s="1011">
        <v>500000</v>
      </c>
      <c r="K135" s="991">
        <f t="shared" si="55"/>
        <v>500000</v>
      </c>
      <c r="L135" s="996">
        <f t="shared" si="56"/>
        <v>500000</v>
      </c>
      <c r="M135" s="991">
        <f t="shared" si="60"/>
        <v>500000</v>
      </c>
      <c r="N135" s="57">
        <f t="shared" si="61"/>
        <v>500000</v>
      </c>
      <c r="O135" s="301"/>
      <c r="P135" s="301"/>
      <c r="Q135" s="301"/>
      <c r="R135" s="301"/>
      <c r="S135" s="301"/>
      <c r="T135" s="301"/>
      <c r="U135" s="301"/>
      <c r="V135" s="301"/>
      <c r="W135" s="301"/>
      <c r="X135" s="301"/>
      <c r="Y135" s="301"/>
      <c r="Z135" s="301"/>
      <c r="AA135" s="989">
        <f t="shared" si="51"/>
        <v>0</v>
      </c>
      <c r="AB135" s="989">
        <f t="shared" si="52"/>
        <v>0</v>
      </c>
      <c r="AC135" s="989">
        <f t="shared" si="62"/>
        <v>0</v>
      </c>
      <c r="AD135" s="989">
        <f t="shared" si="53"/>
        <v>500000</v>
      </c>
      <c r="AE135" s="989">
        <f t="shared" si="54"/>
        <v>500000</v>
      </c>
    </row>
    <row r="136" spans="1:33" s="995" customFormat="1" ht="26.25" x14ac:dyDescent="0.25">
      <c r="A136" s="1098" t="s">
        <v>1225</v>
      </c>
      <c r="B136" s="861" t="s">
        <v>1222</v>
      </c>
      <c r="C136" s="720"/>
      <c r="D136" s="720"/>
      <c r="E136" s="991"/>
      <c r="F136" s="720"/>
      <c r="G136" s="720"/>
      <c r="H136" s="1011"/>
      <c r="I136" s="1011"/>
      <c r="J136" s="1011">
        <v>1000000</v>
      </c>
      <c r="K136" s="991">
        <f t="shared" si="55"/>
        <v>1000000</v>
      </c>
      <c r="L136" s="996">
        <f t="shared" si="56"/>
        <v>1000000</v>
      </c>
      <c r="M136" s="991">
        <f t="shared" si="60"/>
        <v>1000000</v>
      </c>
      <c r="N136" s="57">
        <f t="shared" si="61"/>
        <v>1000000</v>
      </c>
      <c r="O136" s="301"/>
      <c r="P136" s="301"/>
      <c r="Q136" s="301"/>
      <c r="R136" s="301"/>
      <c r="S136" s="301"/>
      <c r="T136" s="301"/>
      <c r="U136" s="301"/>
      <c r="V136" s="301"/>
      <c r="W136" s="301"/>
      <c r="X136" s="301"/>
      <c r="Y136" s="301"/>
      <c r="Z136" s="301"/>
      <c r="AA136" s="989">
        <f t="shared" si="51"/>
        <v>0</v>
      </c>
      <c r="AB136" s="989">
        <f t="shared" si="52"/>
        <v>0</v>
      </c>
      <c r="AC136" s="989">
        <f t="shared" si="62"/>
        <v>0</v>
      </c>
      <c r="AD136" s="989">
        <f t="shared" si="53"/>
        <v>1000000</v>
      </c>
      <c r="AE136" s="989">
        <f t="shared" si="54"/>
        <v>1000000</v>
      </c>
    </row>
    <row r="137" spans="1:33" s="995" customFormat="1" x14ac:dyDescent="0.25">
      <c r="A137" s="278"/>
      <c r="B137" s="861"/>
      <c r="C137" s="720"/>
      <c r="D137" s="720"/>
      <c r="E137" s="991"/>
      <c r="F137" s="720"/>
      <c r="G137" s="720"/>
      <c r="H137" s="1011"/>
      <c r="I137" s="1011"/>
      <c r="J137" s="1011"/>
      <c r="K137" s="991">
        <f t="shared" si="55"/>
        <v>0</v>
      </c>
      <c r="L137" s="996">
        <f t="shared" si="56"/>
        <v>0</v>
      </c>
      <c r="M137" s="991">
        <f t="shared" si="60"/>
        <v>0</v>
      </c>
      <c r="N137" s="57">
        <f t="shared" si="61"/>
        <v>0</v>
      </c>
      <c r="O137" s="301"/>
      <c r="P137" s="301"/>
      <c r="Q137" s="301"/>
      <c r="R137" s="301"/>
      <c r="S137" s="301"/>
      <c r="T137" s="301"/>
      <c r="U137" s="301"/>
      <c r="V137" s="301"/>
      <c r="W137" s="301"/>
      <c r="X137" s="301"/>
      <c r="Y137" s="301"/>
      <c r="Z137" s="301"/>
      <c r="AA137" s="989">
        <f t="shared" si="51"/>
        <v>0</v>
      </c>
      <c r="AB137" s="989">
        <f t="shared" si="52"/>
        <v>0</v>
      </c>
      <c r="AC137" s="989">
        <f t="shared" si="62"/>
        <v>0</v>
      </c>
      <c r="AD137" s="989">
        <f t="shared" si="53"/>
        <v>0</v>
      </c>
      <c r="AE137" s="989">
        <f t="shared" si="54"/>
        <v>0</v>
      </c>
    </row>
    <row r="138" spans="1:33" x14ac:dyDescent="0.25">
      <c r="A138" s="68" t="s">
        <v>337</v>
      </c>
      <c r="B138" s="253"/>
      <c r="C138" s="78">
        <f>SUM(C127:C137)</f>
        <v>1140000</v>
      </c>
      <c r="D138" s="726">
        <f>SUM(D127:D137)</f>
        <v>0</v>
      </c>
      <c r="E138" s="999">
        <f>SUM(E127:E137)</f>
        <v>0</v>
      </c>
      <c r="F138" s="726">
        <f>SUM(F127:F137)</f>
        <v>0</v>
      </c>
      <c r="G138" s="726">
        <f>SUM(G127:G137)</f>
        <v>0</v>
      </c>
      <c r="H138" s="726">
        <f t="shared" ref="H138:AE138" si="63">SUM(H127:H137)</f>
        <v>0</v>
      </c>
      <c r="I138" s="726">
        <f t="shared" ref="I138" si="64">SUM(I127:I137)</f>
        <v>0</v>
      </c>
      <c r="J138" s="726">
        <f t="shared" si="63"/>
        <v>2200000</v>
      </c>
      <c r="K138" s="726">
        <f t="shared" si="63"/>
        <v>3340000</v>
      </c>
      <c r="L138" s="726">
        <f t="shared" si="63"/>
        <v>3340000</v>
      </c>
      <c r="M138" s="726">
        <f t="shared" si="63"/>
        <v>3340000</v>
      </c>
      <c r="N138" s="726">
        <f t="shared" si="63"/>
        <v>3340000</v>
      </c>
      <c r="O138" s="726">
        <f t="shared" si="63"/>
        <v>0</v>
      </c>
      <c r="P138" s="726">
        <f t="shared" si="63"/>
        <v>0</v>
      </c>
      <c r="Q138" s="726">
        <f t="shared" si="63"/>
        <v>0</v>
      </c>
      <c r="R138" s="726">
        <f t="shared" si="63"/>
        <v>0</v>
      </c>
      <c r="S138" s="726">
        <f t="shared" si="63"/>
        <v>0</v>
      </c>
      <c r="T138" s="726">
        <f t="shared" si="63"/>
        <v>0</v>
      </c>
      <c r="U138" s="726">
        <f t="shared" si="63"/>
        <v>0</v>
      </c>
      <c r="V138" s="726">
        <f t="shared" si="63"/>
        <v>0</v>
      </c>
      <c r="W138" s="726">
        <f t="shared" si="63"/>
        <v>0</v>
      </c>
      <c r="X138" s="726">
        <f t="shared" si="63"/>
        <v>0</v>
      </c>
      <c r="Y138" s="726">
        <f t="shared" si="63"/>
        <v>0</v>
      </c>
      <c r="Z138" s="726">
        <f t="shared" si="63"/>
        <v>0</v>
      </c>
      <c r="AA138" s="989">
        <f t="shared" si="51"/>
        <v>0</v>
      </c>
      <c r="AB138" s="989">
        <f t="shared" si="52"/>
        <v>0</v>
      </c>
      <c r="AC138" s="726">
        <f t="shared" si="63"/>
        <v>0</v>
      </c>
      <c r="AD138" s="726">
        <f t="shared" si="63"/>
        <v>3340000</v>
      </c>
      <c r="AE138" s="726">
        <f t="shared" si="63"/>
        <v>3340000</v>
      </c>
    </row>
    <row r="139" spans="1:33" s="712" customFormat="1" x14ac:dyDescent="0.25">
      <c r="A139" s="68" t="s">
        <v>119</v>
      </c>
      <c r="B139" s="253"/>
      <c r="C139" s="726">
        <f>C124+C138</f>
        <v>2848627.94</v>
      </c>
      <c r="D139" s="726">
        <f>D124+D138</f>
        <v>0</v>
      </c>
      <c r="E139" s="999">
        <f>E124+E138</f>
        <v>0</v>
      </c>
      <c r="F139" s="726">
        <f>F124+F138</f>
        <v>0</v>
      </c>
      <c r="G139" s="726">
        <f>G124+G138</f>
        <v>0</v>
      </c>
      <c r="H139" s="726">
        <f t="shared" ref="H139:AE139" si="65">H124+H138</f>
        <v>-344177.57999999996</v>
      </c>
      <c r="I139" s="726">
        <f t="shared" ref="I139" si="66">I124+I138</f>
        <v>0</v>
      </c>
      <c r="J139" s="726">
        <f t="shared" si="65"/>
        <v>2200000</v>
      </c>
      <c r="K139" s="726">
        <f t="shared" si="65"/>
        <v>4704450.3600000003</v>
      </c>
      <c r="L139" s="726">
        <f t="shared" si="65"/>
        <v>4704450.3600000003</v>
      </c>
      <c r="M139" s="726">
        <f t="shared" si="65"/>
        <v>4704450.3600000003</v>
      </c>
      <c r="N139" s="726">
        <f t="shared" si="65"/>
        <v>4704450.3600000003</v>
      </c>
      <c r="O139" s="726">
        <f t="shared" si="65"/>
        <v>0</v>
      </c>
      <c r="P139" s="726">
        <f t="shared" si="65"/>
        <v>0</v>
      </c>
      <c r="Q139" s="726">
        <f t="shared" si="65"/>
        <v>0</v>
      </c>
      <c r="R139" s="726">
        <f t="shared" si="65"/>
        <v>39000</v>
      </c>
      <c r="S139" s="726">
        <f t="shared" si="65"/>
        <v>0</v>
      </c>
      <c r="T139" s="726">
        <f t="shared" si="65"/>
        <v>0</v>
      </c>
      <c r="U139" s="726">
        <f t="shared" si="65"/>
        <v>18400</v>
      </c>
      <c r="V139" s="726">
        <f t="shared" si="65"/>
        <v>0</v>
      </c>
      <c r="W139" s="726">
        <f t="shared" si="65"/>
        <v>0</v>
      </c>
      <c r="X139" s="726">
        <f t="shared" si="65"/>
        <v>0</v>
      </c>
      <c r="Y139" s="726">
        <f t="shared" si="65"/>
        <v>0</v>
      </c>
      <c r="Z139" s="726">
        <f t="shared" si="65"/>
        <v>0</v>
      </c>
      <c r="AA139" s="726">
        <f t="shared" si="65"/>
        <v>57400</v>
      </c>
      <c r="AB139" s="726">
        <f t="shared" si="65"/>
        <v>0</v>
      </c>
      <c r="AC139" s="726">
        <f t="shared" si="65"/>
        <v>57400</v>
      </c>
      <c r="AD139" s="726">
        <f t="shared" si="65"/>
        <v>4647050.3600000003</v>
      </c>
      <c r="AE139" s="726">
        <f t="shared" si="65"/>
        <v>4647050.3600000003</v>
      </c>
    </row>
    <row r="140" spans="1:33" x14ac:dyDescent="0.25">
      <c r="A140" s="68" t="s">
        <v>224</v>
      </c>
      <c r="B140" s="253"/>
      <c r="C140" s="78">
        <f>C29+C91+C96+C139</f>
        <v>21816824.750000004</v>
      </c>
      <c r="D140" s="726">
        <f>D29+D91+D96+D139</f>
        <v>157853.10999999999</v>
      </c>
      <c r="E140" s="999">
        <f>E29+E91+E96+E139</f>
        <v>15180</v>
      </c>
      <c r="F140" s="726">
        <f>F29+F91+F96+F139</f>
        <v>-175000</v>
      </c>
      <c r="G140" s="726">
        <f>G29+G91+G96+G139</f>
        <v>1196606.07</v>
      </c>
      <c r="H140" s="726">
        <f t="shared" ref="H140:AE140" si="67">H29+H91+H96+H139</f>
        <v>-344177.57999999996</v>
      </c>
      <c r="I140" s="726">
        <f t="shared" ref="I140" si="68">I29+I91+I96+I139</f>
        <v>1119677.45</v>
      </c>
      <c r="J140" s="726">
        <f t="shared" si="67"/>
        <v>2790000</v>
      </c>
      <c r="K140" s="726">
        <f t="shared" si="67"/>
        <v>26576963.799999997</v>
      </c>
      <c r="L140" s="726">
        <f t="shared" si="67"/>
        <v>20853497.384166665</v>
      </c>
      <c r="M140" s="726">
        <f t="shared" si="67"/>
        <v>6527159.8133333335</v>
      </c>
      <c r="N140" s="726">
        <f t="shared" si="67"/>
        <v>22676206.837500002</v>
      </c>
      <c r="O140" s="726">
        <f t="shared" si="67"/>
        <v>860889.64</v>
      </c>
      <c r="P140" s="726">
        <f t="shared" si="67"/>
        <v>1386859.97</v>
      </c>
      <c r="Q140" s="726">
        <f t="shared" si="67"/>
        <v>823510.22</v>
      </c>
      <c r="R140" s="726">
        <f t="shared" si="67"/>
        <v>1141485.07</v>
      </c>
      <c r="S140" s="726">
        <f t="shared" si="67"/>
        <v>1466227</v>
      </c>
      <c r="T140" s="726">
        <f>T29+T91+T96+T139</f>
        <v>3324609.88</v>
      </c>
      <c r="U140" s="726">
        <f t="shared" si="67"/>
        <v>1271180.1400000001</v>
      </c>
      <c r="V140" s="726">
        <f t="shared" si="67"/>
        <v>1375079.1099999999</v>
      </c>
      <c r="W140" s="726">
        <f t="shared" si="67"/>
        <v>1075308.75</v>
      </c>
      <c r="X140" s="726">
        <f t="shared" si="67"/>
        <v>1209670.54</v>
      </c>
      <c r="Y140" s="726">
        <f t="shared" si="67"/>
        <v>0</v>
      </c>
      <c r="Z140" s="726">
        <f t="shared" si="67"/>
        <v>0</v>
      </c>
      <c r="AA140" s="726">
        <f t="shared" si="67"/>
        <v>12725149.779999999</v>
      </c>
      <c r="AB140" s="726">
        <f t="shared" si="67"/>
        <v>1209670.54</v>
      </c>
      <c r="AC140" s="726">
        <f t="shared" si="67"/>
        <v>13934820.319999998</v>
      </c>
      <c r="AD140" s="726">
        <f t="shared" si="67"/>
        <v>8741386.5175000001</v>
      </c>
      <c r="AE140" s="726">
        <f t="shared" si="67"/>
        <v>12642143.48</v>
      </c>
      <c r="AF140" s="7"/>
      <c r="AG140" s="7"/>
    </row>
    <row r="141" spans="1:33" x14ac:dyDescent="0.25">
      <c r="A141" s="302"/>
      <c r="B141" s="302"/>
      <c r="C141" s="288"/>
      <c r="D141" s="288"/>
      <c r="E141" s="1242"/>
      <c r="F141" s="288"/>
      <c r="G141" s="288"/>
      <c r="H141" s="1015"/>
      <c r="I141" s="1015"/>
      <c r="J141" s="1015"/>
      <c r="K141" s="288"/>
      <c r="L141" s="302"/>
      <c r="M141" s="302"/>
      <c r="N141" s="302"/>
    </row>
    <row r="142" spans="1:33" s="987" customFormat="1" x14ac:dyDescent="0.25">
      <c r="A142" s="302"/>
      <c r="B142" s="302"/>
      <c r="C142" s="288"/>
      <c r="D142" s="288"/>
      <c r="E142" s="1242"/>
      <c r="F142" s="288"/>
      <c r="G142" s="288"/>
      <c r="H142" s="1015"/>
      <c r="I142" s="1015"/>
      <c r="J142" s="1015"/>
      <c r="K142" s="288"/>
      <c r="L142" s="302"/>
      <c r="M142" s="302"/>
      <c r="N142" s="302"/>
      <c r="O142" s="288"/>
      <c r="P142" s="288"/>
      <c r="Q142" s="288"/>
      <c r="R142" s="288"/>
      <c r="S142" s="288"/>
      <c r="T142" s="288"/>
      <c r="U142" s="288"/>
      <c r="V142" s="288"/>
      <c r="W142" s="288"/>
      <c r="X142" s="288"/>
      <c r="Y142" s="288"/>
      <c r="Z142" s="288"/>
      <c r="AA142" s="288"/>
      <c r="AB142" s="288"/>
      <c r="AC142" s="288"/>
      <c r="AD142" s="288"/>
      <c r="AE142" s="288"/>
    </row>
    <row r="143" spans="1:33" s="987" customFormat="1" x14ac:dyDescent="0.25">
      <c r="A143" s="302"/>
      <c r="B143" s="302"/>
      <c r="C143" s="288"/>
      <c r="D143" s="288"/>
      <c r="E143" s="1242"/>
      <c r="F143" s="288"/>
      <c r="G143" s="288"/>
      <c r="H143" s="1015"/>
      <c r="I143" s="1015"/>
      <c r="J143" s="1015"/>
      <c r="K143" s="288"/>
      <c r="L143" s="302"/>
      <c r="M143" s="302"/>
      <c r="N143" s="302"/>
      <c r="O143" s="288"/>
      <c r="P143" s="288"/>
      <c r="Q143" s="288"/>
      <c r="R143" s="288"/>
      <c r="S143" s="288"/>
      <c r="T143" s="288"/>
      <c r="U143" s="288"/>
      <c r="V143" s="288"/>
      <c r="W143" s="288"/>
      <c r="X143" s="288"/>
      <c r="Y143" s="288"/>
      <c r="Z143" s="288"/>
      <c r="AA143" s="288"/>
      <c r="AB143" s="288"/>
      <c r="AC143" s="288"/>
      <c r="AD143" s="288"/>
      <c r="AE143" s="288"/>
    </row>
    <row r="144" spans="1:33" s="712" customFormat="1" ht="20.25" customHeight="1" x14ac:dyDescent="0.25">
      <c r="A144" s="712" t="s">
        <v>354</v>
      </c>
      <c r="B144" s="30"/>
      <c r="C144" s="750"/>
      <c r="D144" s="750"/>
      <c r="E144" s="1243"/>
      <c r="F144" s="750"/>
      <c r="G144" s="750"/>
      <c r="H144" s="1016"/>
      <c r="I144" s="1016"/>
      <c r="J144" s="1016"/>
      <c r="K144" s="750"/>
      <c r="L144" s="35"/>
      <c r="M144" s="35"/>
      <c r="AD144" s="743" t="s">
        <v>357</v>
      </c>
    </row>
    <row r="145" spans="1:31" ht="20.25" customHeight="1" x14ac:dyDescent="0.25">
      <c r="B145" s="30"/>
      <c r="C145" s="282"/>
      <c r="D145" s="750"/>
      <c r="E145" s="1243"/>
      <c r="F145" s="750"/>
      <c r="G145" s="750"/>
      <c r="H145" s="1016"/>
      <c r="I145" s="1016"/>
      <c r="J145" s="1016"/>
      <c r="K145" s="282"/>
      <c r="L145" s="35"/>
      <c r="M145" s="35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59"/>
      <c r="AE145" s="21"/>
    </row>
    <row r="146" spans="1:31" s="987" customFormat="1" ht="20.25" customHeight="1" x14ac:dyDescent="0.25">
      <c r="B146" s="30"/>
      <c r="C146" s="750"/>
      <c r="D146" s="750"/>
      <c r="E146" s="1243"/>
      <c r="F146" s="750"/>
      <c r="G146" s="750"/>
      <c r="H146" s="1016"/>
      <c r="I146" s="1016"/>
      <c r="J146" s="1016"/>
      <c r="K146" s="1016"/>
      <c r="L146" s="35"/>
      <c r="M146" s="35"/>
      <c r="AD146" s="743"/>
    </row>
    <row r="147" spans="1:31" x14ac:dyDescent="0.25">
      <c r="B147" s="32"/>
      <c r="C147" s="283"/>
      <c r="D147" s="751"/>
      <c r="E147" s="1244"/>
      <c r="F147" s="751"/>
      <c r="G147" s="751"/>
      <c r="H147" s="1017"/>
      <c r="I147" s="1017"/>
      <c r="J147" s="751"/>
      <c r="K147" s="283"/>
      <c r="L147" s="36"/>
      <c r="M147" s="36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</row>
    <row r="148" spans="1:31" x14ac:dyDescent="0.25">
      <c r="A148" s="258" t="s">
        <v>355</v>
      </c>
      <c r="B148" s="14"/>
      <c r="C148" s="24"/>
      <c r="D148" s="24"/>
      <c r="E148" s="20"/>
      <c r="F148" s="24"/>
      <c r="G148" s="24"/>
      <c r="H148" s="24"/>
      <c r="I148" s="24"/>
      <c r="J148" s="24"/>
      <c r="K148" s="24"/>
      <c r="L148" s="24"/>
      <c r="M148" s="24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60" t="s">
        <v>358</v>
      </c>
      <c r="AE148" s="21"/>
    </row>
    <row r="149" spans="1:31" x14ac:dyDescent="0.25">
      <c r="A149" s="259" t="s">
        <v>356</v>
      </c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59" t="s">
        <v>359</v>
      </c>
      <c r="AE149" s="21"/>
    </row>
    <row r="150" spans="1:31" x14ac:dyDescent="0.25">
      <c r="A150" s="302"/>
      <c r="B150" s="302"/>
      <c r="C150" s="288"/>
      <c r="D150" s="288"/>
      <c r="E150" s="1242"/>
      <c r="F150" s="288"/>
      <c r="G150" s="288"/>
      <c r="H150" s="1015"/>
      <c r="I150" s="1015"/>
      <c r="J150" s="1015"/>
      <c r="K150" s="288"/>
      <c r="L150" s="302"/>
      <c r="M150" s="302"/>
      <c r="N150" s="302"/>
    </row>
    <row r="151" spans="1:31" x14ac:dyDescent="0.25">
      <c r="A151" s="302"/>
      <c r="B151" s="302"/>
      <c r="C151" s="288"/>
      <c r="D151" s="288"/>
      <c r="E151" s="1242"/>
      <c r="F151" s="288"/>
      <c r="G151" s="288"/>
      <c r="H151" s="1015"/>
      <c r="I151" s="1015"/>
      <c r="J151" s="1015"/>
      <c r="K151" s="288"/>
      <c r="L151" s="302"/>
      <c r="M151" s="302"/>
      <c r="N151" s="302"/>
    </row>
    <row r="152" spans="1:31" x14ac:dyDescent="0.25">
      <c r="A152" s="302"/>
      <c r="B152" s="302"/>
      <c r="C152" s="288"/>
      <c r="D152" s="288"/>
      <c r="E152" s="1242"/>
      <c r="F152" s="288"/>
      <c r="G152" s="288"/>
      <c r="H152" s="1015"/>
      <c r="I152" s="1015"/>
      <c r="J152" s="1015"/>
      <c r="K152" s="288"/>
      <c r="L152" s="302"/>
      <c r="M152" s="302"/>
      <c r="N152" s="302"/>
    </row>
    <row r="153" spans="1:31" x14ac:dyDescent="0.25">
      <c r="A153" s="302"/>
      <c r="B153" s="302"/>
      <c r="C153" s="288"/>
      <c r="D153" s="288"/>
      <c r="E153" s="1242"/>
      <c r="F153" s="288"/>
      <c r="G153" s="288"/>
      <c r="H153" s="1015"/>
      <c r="I153" s="1015"/>
      <c r="J153" s="1015"/>
      <c r="K153" s="288"/>
      <c r="L153" s="302"/>
      <c r="M153" s="302"/>
      <c r="N153" s="302"/>
    </row>
    <row r="154" spans="1:31" x14ac:dyDescent="0.25">
      <c r="A154" s="302"/>
      <c r="B154" s="302"/>
      <c r="C154" s="288"/>
      <c r="D154" s="288"/>
      <c r="E154" s="1242"/>
      <c r="F154" s="288"/>
      <c r="G154" s="288"/>
      <c r="H154" s="1015"/>
      <c r="I154" s="1015"/>
      <c r="J154" s="1015"/>
      <c r="K154" s="288"/>
      <c r="L154" s="302"/>
      <c r="M154" s="302"/>
      <c r="N154" s="302"/>
    </row>
    <row r="155" spans="1:31" x14ac:dyDescent="0.25">
      <c r="A155" s="302"/>
      <c r="B155" s="302"/>
      <c r="C155" s="288"/>
      <c r="D155" s="288"/>
      <c r="E155" s="1242"/>
      <c r="F155" s="288"/>
      <c r="G155" s="288"/>
      <c r="H155" s="1015"/>
      <c r="I155" s="1015"/>
      <c r="J155" s="1015"/>
      <c r="K155" s="288"/>
      <c r="L155" s="302"/>
      <c r="M155" s="302"/>
      <c r="N155" s="302"/>
    </row>
    <row r="156" spans="1:31" x14ac:dyDescent="0.25">
      <c r="A156" s="302"/>
      <c r="B156" s="302"/>
      <c r="C156" s="288"/>
      <c r="D156" s="288"/>
      <c r="E156" s="1242"/>
      <c r="F156" s="288"/>
      <c r="G156" s="288"/>
      <c r="H156" s="1015"/>
      <c r="I156" s="1015"/>
      <c r="J156" s="1015"/>
      <c r="K156" s="288"/>
      <c r="L156" s="302"/>
      <c r="M156" s="302"/>
      <c r="N156" s="302"/>
    </row>
    <row r="157" spans="1:31" x14ac:dyDescent="0.25">
      <c r="A157" s="302"/>
      <c r="B157" s="302"/>
      <c r="C157" s="288"/>
      <c r="D157" s="288"/>
      <c r="E157" s="1242"/>
      <c r="F157" s="288"/>
      <c r="G157" s="288"/>
      <c r="H157" s="1015"/>
      <c r="I157" s="1015"/>
      <c r="J157" s="1015"/>
      <c r="K157" s="288"/>
      <c r="L157" s="302"/>
      <c r="M157" s="302"/>
      <c r="N157" s="302"/>
    </row>
    <row r="158" spans="1:31" x14ac:dyDescent="0.25">
      <c r="A158" s="302"/>
      <c r="B158" s="302"/>
      <c r="C158" s="288"/>
      <c r="D158" s="288"/>
      <c r="E158" s="1242"/>
      <c r="F158" s="288"/>
      <c r="G158" s="288"/>
      <c r="H158" s="1015"/>
      <c r="I158" s="1015"/>
      <c r="J158" s="1015"/>
      <c r="K158" s="288"/>
      <c r="L158" s="302"/>
      <c r="M158" s="302"/>
      <c r="N158" s="302"/>
    </row>
    <row r="159" spans="1:31" x14ac:dyDescent="0.25">
      <c r="A159" s="302"/>
      <c r="B159" s="302"/>
      <c r="C159" s="288"/>
      <c r="D159" s="288"/>
      <c r="E159" s="1242"/>
      <c r="F159" s="288"/>
      <c r="G159" s="288"/>
      <c r="H159" s="1015"/>
      <c r="I159" s="1015"/>
      <c r="J159" s="1015"/>
      <c r="K159" s="288"/>
      <c r="L159" s="302"/>
      <c r="M159" s="302"/>
      <c r="N159" s="302"/>
    </row>
    <row r="160" spans="1:31" x14ac:dyDescent="0.25">
      <c r="A160" s="302"/>
      <c r="B160" s="302"/>
      <c r="C160" s="288"/>
      <c r="D160" s="288"/>
      <c r="E160" s="1242"/>
      <c r="F160" s="288"/>
      <c r="G160" s="288"/>
      <c r="H160" s="1015"/>
      <c r="I160" s="1015"/>
      <c r="J160" s="1015"/>
      <c r="K160" s="288"/>
      <c r="L160" s="302"/>
      <c r="M160" s="302"/>
      <c r="N160" s="302"/>
    </row>
    <row r="161" spans="1:14" x14ac:dyDescent="0.25">
      <c r="A161" s="302"/>
      <c r="B161" s="302"/>
      <c r="C161" s="288"/>
      <c r="D161" s="288"/>
      <c r="E161" s="1242"/>
      <c r="F161" s="288"/>
      <c r="G161" s="288"/>
      <c r="H161" s="1015"/>
      <c r="I161" s="1015"/>
      <c r="J161" s="1015"/>
      <c r="K161" s="288"/>
      <c r="L161" s="302"/>
      <c r="M161" s="302"/>
      <c r="N161" s="302"/>
    </row>
    <row r="162" spans="1:14" x14ac:dyDescent="0.25">
      <c r="A162" s="302"/>
      <c r="B162" s="302"/>
      <c r="C162" s="288"/>
      <c r="D162" s="288"/>
      <c r="E162" s="1242"/>
      <c r="F162" s="288"/>
      <c r="G162" s="288"/>
      <c r="H162" s="1015"/>
      <c r="I162" s="1015"/>
      <c r="J162" s="1015"/>
      <c r="K162" s="288"/>
      <c r="L162" s="302"/>
      <c r="M162" s="302"/>
      <c r="N162" s="302"/>
    </row>
    <row r="163" spans="1:14" x14ac:dyDescent="0.25">
      <c r="A163" s="302"/>
      <c r="B163" s="302"/>
      <c r="C163" s="288"/>
      <c r="D163" s="288"/>
      <c r="E163" s="1242"/>
      <c r="F163" s="288"/>
      <c r="G163" s="288"/>
      <c r="H163" s="1015"/>
      <c r="I163" s="1015"/>
      <c r="J163" s="1015"/>
      <c r="K163" s="288"/>
      <c r="L163" s="302"/>
      <c r="M163" s="302"/>
      <c r="N163" s="302"/>
    </row>
    <row r="164" spans="1:14" x14ac:dyDescent="0.25">
      <c r="A164" s="302"/>
      <c r="B164" s="302"/>
      <c r="C164" s="288"/>
      <c r="D164" s="288"/>
      <c r="E164" s="1242"/>
      <c r="F164" s="288"/>
      <c r="G164" s="288"/>
      <c r="H164" s="1015"/>
      <c r="I164" s="1015"/>
      <c r="J164" s="1015"/>
      <c r="K164" s="288"/>
      <c r="L164" s="302"/>
      <c r="M164" s="302"/>
      <c r="N164" s="302"/>
    </row>
    <row r="165" spans="1:14" x14ac:dyDescent="0.25">
      <c r="A165" s="302"/>
      <c r="B165" s="302"/>
      <c r="C165" s="288"/>
      <c r="D165" s="288"/>
      <c r="E165" s="1242"/>
      <c r="F165" s="288"/>
      <c r="G165" s="288"/>
      <c r="H165" s="1015"/>
      <c r="I165" s="1015"/>
      <c r="J165" s="1015"/>
      <c r="K165" s="288"/>
      <c r="L165" s="302"/>
      <c r="M165" s="302"/>
      <c r="N165" s="302"/>
    </row>
    <row r="166" spans="1:14" x14ac:dyDescent="0.25">
      <c r="A166" s="302"/>
      <c r="B166" s="302"/>
      <c r="C166" s="288"/>
      <c r="D166" s="288"/>
      <c r="E166" s="1242"/>
      <c r="F166" s="288"/>
      <c r="G166" s="288"/>
      <c r="H166" s="1015"/>
      <c r="I166" s="1015"/>
      <c r="J166" s="1015"/>
      <c r="K166" s="288"/>
      <c r="L166" s="302"/>
      <c r="M166" s="302"/>
      <c r="N166" s="302"/>
    </row>
    <row r="167" spans="1:14" x14ac:dyDescent="0.25">
      <c r="A167" s="302"/>
      <c r="B167" s="302"/>
      <c r="C167" s="288"/>
      <c r="D167" s="288"/>
      <c r="E167" s="1242"/>
      <c r="F167" s="288"/>
      <c r="G167" s="288"/>
      <c r="H167" s="1015"/>
      <c r="I167" s="1015"/>
      <c r="J167" s="1015"/>
      <c r="K167" s="288"/>
      <c r="L167" s="302"/>
      <c r="M167" s="302"/>
      <c r="N167" s="302"/>
    </row>
    <row r="168" spans="1:14" x14ac:dyDescent="0.25">
      <c r="A168" s="302"/>
      <c r="B168" s="302"/>
      <c r="C168" s="288"/>
      <c r="D168" s="288"/>
      <c r="E168" s="1242"/>
      <c r="F168" s="288"/>
      <c r="G168" s="288"/>
      <c r="H168" s="1015"/>
      <c r="I168" s="1015"/>
      <c r="J168" s="1015"/>
      <c r="K168" s="288"/>
      <c r="L168" s="302"/>
      <c r="M168" s="302"/>
      <c r="N168" s="302"/>
    </row>
    <row r="169" spans="1:14" x14ac:dyDescent="0.25">
      <c r="A169" s="302"/>
      <c r="B169" s="302"/>
      <c r="C169" s="288"/>
      <c r="D169" s="288"/>
      <c r="E169" s="1242"/>
      <c r="F169" s="288"/>
      <c r="G169" s="288"/>
      <c r="H169" s="1015"/>
      <c r="I169" s="1015"/>
      <c r="J169" s="1015"/>
      <c r="K169" s="288"/>
      <c r="L169" s="302"/>
      <c r="M169" s="302"/>
      <c r="N169" s="302"/>
    </row>
    <row r="170" spans="1:14" x14ac:dyDescent="0.25">
      <c r="A170" s="302"/>
      <c r="B170" s="302"/>
      <c r="C170" s="288"/>
      <c r="D170" s="288"/>
      <c r="E170" s="1242"/>
      <c r="F170" s="288"/>
      <c r="G170" s="288"/>
      <c r="H170" s="1015"/>
      <c r="I170" s="1015"/>
      <c r="J170" s="1015"/>
      <c r="K170" s="288"/>
      <c r="L170" s="302"/>
      <c r="M170" s="302"/>
      <c r="N170" s="302"/>
    </row>
    <row r="171" spans="1:14" x14ac:dyDescent="0.25">
      <c r="A171" s="302"/>
      <c r="B171" s="302"/>
      <c r="C171" s="288"/>
      <c r="D171" s="288"/>
      <c r="E171" s="1242"/>
      <c r="F171" s="288"/>
      <c r="G171" s="288"/>
      <c r="H171" s="1015"/>
      <c r="I171" s="1015"/>
      <c r="J171" s="1015"/>
      <c r="K171" s="288"/>
      <c r="L171" s="302"/>
      <c r="M171" s="302"/>
      <c r="N171" s="302"/>
    </row>
    <row r="172" spans="1:14" x14ac:dyDescent="0.25">
      <c r="A172" s="302"/>
      <c r="B172" s="302"/>
      <c r="C172" s="288"/>
      <c r="D172" s="288"/>
      <c r="E172" s="1242"/>
      <c r="F172" s="288"/>
      <c r="G172" s="288"/>
      <c r="H172" s="1015"/>
      <c r="I172" s="1015"/>
      <c r="J172" s="1015"/>
      <c r="K172" s="288"/>
      <c r="L172" s="302"/>
      <c r="M172" s="302"/>
      <c r="N172" s="302"/>
    </row>
    <row r="173" spans="1:14" x14ac:dyDescent="0.25">
      <c r="A173" s="302"/>
      <c r="B173" s="302"/>
      <c r="C173" s="288"/>
      <c r="D173" s="288"/>
      <c r="E173" s="1242"/>
      <c r="F173" s="288"/>
      <c r="G173" s="288"/>
      <c r="H173" s="1015"/>
      <c r="I173" s="1015"/>
      <c r="J173" s="1015"/>
      <c r="K173" s="288"/>
      <c r="L173" s="302"/>
      <c r="M173" s="302"/>
      <c r="N173" s="302"/>
    </row>
    <row r="174" spans="1:14" x14ac:dyDescent="0.25">
      <c r="A174" s="302"/>
      <c r="B174" s="302"/>
      <c r="C174" s="288"/>
      <c r="D174" s="288"/>
      <c r="E174" s="1242"/>
      <c r="F174" s="288"/>
      <c r="G174" s="288"/>
      <c r="H174" s="1015"/>
      <c r="I174" s="1015"/>
      <c r="J174" s="1015"/>
      <c r="K174" s="288"/>
      <c r="L174" s="302"/>
      <c r="M174" s="302"/>
      <c r="N174" s="302"/>
    </row>
    <row r="175" spans="1:14" x14ac:dyDescent="0.25">
      <c r="A175" s="302"/>
      <c r="B175" s="302"/>
      <c r="C175" s="288"/>
      <c r="D175" s="288"/>
      <c r="E175" s="1242"/>
      <c r="F175" s="288"/>
      <c r="G175" s="288"/>
      <c r="H175" s="1015"/>
      <c r="I175" s="1015"/>
      <c r="J175" s="1015"/>
      <c r="K175" s="288"/>
      <c r="L175" s="302"/>
      <c r="M175" s="302"/>
      <c r="N175" s="302"/>
    </row>
    <row r="176" spans="1:14" x14ac:dyDescent="0.25">
      <c r="A176" s="302"/>
      <c r="B176" s="302"/>
      <c r="C176" s="288"/>
      <c r="D176" s="288"/>
      <c r="E176" s="1242"/>
      <c r="F176" s="288"/>
      <c r="G176" s="288"/>
      <c r="H176" s="1015"/>
      <c r="I176" s="1015"/>
      <c r="J176" s="1015"/>
      <c r="K176" s="288"/>
      <c r="L176" s="302"/>
      <c r="M176" s="302"/>
      <c r="N176" s="302"/>
    </row>
    <row r="177" spans="1:14" x14ac:dyDescent="0.25">
      <c r="A177" s="302"/>
      <c r="B177" s="302"/>
      <c r="C177" s="288"/>
      <c r="D177" s="288"/>
      <c r="E177" s="1242"/>
      <c r="F177" s="288"/>
      <c r="G177" s="288"/>
      <c r="H177" s="1015"/>
      <c r="I177" s="1015"/>
      <c r="J177" s="1015"/>
      <c r="K177" s="288"/>
      <c r="L177" s="302"/>
      <c r="M177" s="302"/>
      <c r="N177" s="302"/>
    </row>
    <row r="178" spans="1:14" x14ac:dyDescent="0.25">
      <c r="A178" s="302"/>
      <c r="B178" s="302"/>
      <c r="C178" s="288"/>
      <c r="D178" s="288"/>
      <c r="E178" s="1242"/>
      <c r="F178" s="288"/>
      <c r="G178" s="288"/>
      <c r="H178" s="1015"/>
      <c r="I178" s="1015"/>
      <c r="J178" s="1015"/>
      <c r="K178" s="288"/>
      <c r="L178" s="302"/>
      <c r="M178" s="302"/>
      <c r="N178" s="302"/>
    </row>
    <row r="179" spans="1:14" x14ac:dyDescent="0.25">
      <c r="A179" s="302"/>
      <c r="B179" s="302"/>
      <c r="C179" s="288"/>
      <c r="D179" s="288"/>
      <c r="E179" s="1242"/>
      <c r="F179" s="288"/>
      <c r="G179" s="288"/>
      <c r="H179" s="1015"/>
      <c r="I179" s="1015"/>
      <c r="J179" s="1015"/>
      <c r="K179" s="288"/>
      <c r="L179" s="302"/>
      <c r="M179" s="302"/>
      <c r="N179" s="302"/>
    </row>
    <row r="180" spans="1:14" x14ac:dyDescent="0.25">
      <c r="A180" s="302"/>
      <c r="B180" s="302"/>
      <c r="C180" s="288"/>
      <c r="D180" s="288"/>
      <c r="E180" s="1242"/>
      <c r="F180" s="288"/>
      <c r="G180" s="288"/>
      <c r="H180" s="1015"/>
      <c r="I180" s="1015"/>
      <c r="J180" s="1015"/>
      <c r="K180" s="288"/>
      <c r="L180" s="302"/>
      <c r="M180" s="302"/>
      <c r="N180" s="302"/>
    </row>
    <row r="181" spans="1:14" x14ac:dyDescent="0.25">
      <c r="A181" s="302"/>
      <c r="B181" s="302"/>
      <c r="C181" s="288"/>
      <c r="D181" s="288"/>
      <c r="E181" s="1242"/>
      <c r="F181" s="288"/>
      <c r="G181" s="288"/>
      <c r="H181" s="1015"/>
      <c r="I181" s="1015"/>
      <c r="J181" s="1015"/>
      <c r="K181" s="288"/>
      <c r="L181" s="302"/>
      <c r="M181" s="302"/>
      <c r="N181" s="302"/>
    </row>
    <row r="182" spans="1:14" x14ac:dyDescent="0.25">
      <c r="A182" s="302"/>
      <c r="B182" s="302"/>
      <c r="C182" s="288"/>
      <c r="D182" s="288"/>
      <c r="E182" s="1242"/>
      <c r="F182" s="288"/>
      <c r="G182" s="288"/>
      <c r="H182" s="1015"/>
      <c r="I182" s="1015"/>
      <c r="J182" s="1015"/>
      <c r="K182" s="288"/>
      <c r="L182" s="302"/>
      <c r="M182" s="302"/>
      <c r="N182" s="302"/>
    </row>
    <row r="183" spans="1:14" x14ac:dyDescent="0.25">
      <c r="A183" s="302"/>
      <c r="B183" s="302"/>
      <c r="C183" s="288"/>
      <c r="D183" s="288"/>
      <c r="E183" s="1242"/>
      <c r="F183" s="288"/>
      <c r="G183" s="288"/>
      <c r="H183" s="1015"/>
      <c r="I183" s="1015"/>
      <c r="J183" s="1015"/>
      <c r="K183" s="288"/>
      <c r="L183" s="302"/>
      <c r="M183" s="302"/>
      <c r="N183" s="302"/>
    </row>
    <row r="184" spans="1:14" x14ac:dyDescent="0.25">
      <c r="A184" s="302"/>
      <c r="B184" s="302"/>
      <c r="C184" s="288"/>
      <c r="D184" s="288"/>
      <c r="E184" s="1242"/>
      <c r="F184" s="288"/>
      <c r="G184" s="288"/>
      <c r="H184" s="1015"/>
      <c r="I184" s="1015"/>
      <c r="J184" s="1015"/>
      <c r="K184" s="288"/>
      <c r="L184" s="302"/>
      <c r="M184" s="302"/>
      <c r="N184" s="302"/>
    </row>
    <row r="185" spans="1:14" x14ac:dyDescent="0.25">
      <c r="A185" s="302"/>
      <c r="B185" s="302"/>
      <c r="C185" s="288"/>
      <c r="D185" s="288"/>
      <c r="E185" s="1242"/>
      <c r="F185" s="288"/>
      <c r="G185" s="288"/>
      <c r="H185" s="1015"/>
      <c r="I185" s="1015"/>
      <c r="J185" s="1015"/>
      <c r="K185" s="288"/>
      <c r="L185" s="302"/>
      <c r="M185" s="302"/>
      <c r="N185" s="302"/>
    </row>
    <row r="186" spans="1:14" x14ac:dyDescent="0.25">
      <c r="A186" s="302"/>
      <c r="B186" s="302"/>
      <c r="C186" s="288"/>
      <c r="D186" s="288"/>
      <c r="E186" s="1242"/>
      <c r="F186" s="288"/>
      <c r="G186" s="288"/>
      <c r="H186" s="1015"/>
      <c r="I186" s="1015"/>
      <c r="J186" s="1015"/>
      <c r="K186" s="288"/>
      <c r="L186" s="302"/>
      <c r="M186" s="302"/>
      <c r="N186" s="302"/>
    </row>
    <row r="187" spans="1:14" x14ac:dyDescent="0.25">
      <c r="A187" s="302"/>
      <c r="B187" s="302"/>
      <c r="C187" s="288"/>
      <c r="D187" s="288"/>
      <c r="E187" s="1242"/>
      <c r="F187" s="288"/>
      <c r="G187" s="288"/>
      <c r="H187" s="1015"/>
      <c r="I187" s="1015"/>
      <c r="J187" s="1015"/>
      <c r="K187" s="288"/>
      <c r="L187" s="302"/>
      <c r="M187" s="302"/>
      <c r="N187" s="302"/>
    </row>
    <row r="188" spans="1:14" x14ac:dyDescent="0.25">
      <c r="A188" s="302"/>
      <c r="B188" s="302"/>
      <c r="C188" s="288"/>
      <c r="D188" s="288"/>
      <c r="E188" s="1242"/>
      <c r="F188" s="288"/>
      <c r="G188" s="288"/>
      <c r="H188" s="1015"/>
      <c r="I188" s="1015"/>
      <c r="J188" s="1015"/>
      <c r="K188" s="288"/>
      <c r="L188" s="302"/>
      <c r="M188" s="302"/>
      <c r="N188" s="302"/>
    </row>
    <row r="189" spans="1:14" x14ac:dyDescent="0.25">
      <c r="A189" s="302"/>
      <c r="B189" s="302"/>
      <c r="C189" s="288"/>
      <c r="D189" s="288"/>
      <c r="E189" s="1242"/>
      <c r="F189" s="288"/>
      <c r="G189" s="288"/>
      <c r="H189" s="1015"/>
      <c r="I189" s="1015"/>
      <c r="J189" s="1015"/>
      <c r="K189" s="288"/>
      <c r="L189" s="302"/>
      <c r="M189" s="302"/>
      <c r="N189" s="302"/>
    </row>
    <row r="190" spans="1:14" x14ac:dyDescent="0.25">
      <c r="A190" s="302"/>
      <c r="B190" s="302"/>
      <c r="C190" s="288"/>
      <c r="D190" s="288"/>
      <c r="E190" s="1242"/>
      <c r="F190" s="288"/>
      <c r="G190" s="288"/>
      <c r="H190" s="1015"/>
      <c r="I190" s="1015"/>
      <c r="J190" s="1015"/>
      <c r="K190" s="288"/>
      <c r="L190" s="302"/>
      <c r="M190" s="302"/>
      <c r="N190" s="302"/>
    </row>
    <row r="191" spans="1:14" x14ac:dyDescent="0.25">
      <c r="A191" s="302"/>
      <c r="B191" s="302"/>
      <c r="C191" s="288"/>
      <c r="D191" s="288"/>
      <c r="E191" s="1242"/>
      <c r="F191" s="288"/>
      <c r="G191" s="288"/>
      <c r="H191" s="1015"/>
      <c r="I191" s="1015"/>
      <c r="J191" s="1015"/>
      <c r="K191" s="288"/>
      <c r="L191" s="302"/>
      <c r="M191" s="302"/>
      <c r="N191" s="302"/>
    </row>
    <row r="192" spans="1:14" x14ac:dyDescent="0.25">
      <c r="A192" s="302"/>
      <c r="B192" s="302"/>
      <c r="C192" s="288"/>
      <c r="D192" s="288"/>
      <c r="E192" s="1242"/>
      <c r="F192" s="288"/>
      <c r="G192" s="288"/>
      <c r="H192" s="1015"/>
      <c r="I192" s="1015"/>
      <c r="J192" s="1015"/>
      <c r="K192" s="288"/>
      <c r="L192" s="302"/>
      <c r="M192" s="302"/>
      <c r="N192" s="302"/>
    </row>
    <row r="193" spans="1:14" x14ac:dyDescent="0.25">
      <c r="A193" s="302"/>
      <c r="B193" s="302"/>
      <c r="C193" s="288"/>
      <c r="D193" s="288"/>
      <c r="E193" s="1242"/>
      <c r="F193" s="288"/>
      <c r="G193" s="288"/>
      <c r="H193" s="1015"/>
      <c r="I193" s="1015"/>
      <c r="J193" s="1015"/>
      <c r="K193" s="288"/>
      <c r="L193" s="302"/>
      <c r="M193" s="302"/>
      <c r="N193" s="302"/>
    </row>
    <row r="194" spans="1:14" x14ac:dyDescent="0.25">
      <c r="A194" s="302"/>
      <c r="B194" s="302"/>
      <c r="C194" s="288"/>
      <c r="D194" s="288"/>
      <c r="E194" s="1242"/>
      <c r="F194" s="288"/>
      <c r="G194" s="288"/>
      <c r="H194" s="1015"/>
      <c r="I194" s="1015"/>
      <c r="J194" s="1015"/>
      <c r="K194" s="288"/>
      <c r="L194" s="302"/>
      <c r="M194" s="302"/>
      <c r="N194" s="302"/>
    </row>
    <row r="195" spans="1:14" x14ac:dyDescent="0.25">
      <c r="A195" s="302"/>
      <c r="B195" s="302"/>
      <c r="C195" s="288"/>
      <c r="D195" s="288"/>
      <c r="E195" s="1242"/>
      <c r="F195" s="288"/>
      <c r="G195" s="288"/>
      <c r="H195" s="1015"/>
      <c r="I195" s="1015"/>
      <c r="J195" s="1015"/>
      <c r="K195" s="288"/>
      <c r="L195" s="302"/>
      <c r="M195" s="302"/>
      <c r="N195" s="302"/>
    </row>
    <row r="196" spans="1:14" x14ac:dyDescent="0.25">
      <c r="A196" s="302"/>
      <c r="B196" s="302"/>
      <c r="C196" s="288"/>
      <c r="D196" s="288"/>
      <c r="E196" s="1242"/>
      <c r="F196" s="288"/>
      <c r="G196" s="288"/>
      <c r="H196" s="1015"/>
      <c r="I196" s="1015"/>
      <c r="J196" s="1015"/>
      <c r="K196" s="288"/>
      <c r="L196" s="302"/>
      <c r="M196" s="302"/>
      <c r="N196" s="302"/>
    </row>
    <row r="197" spans="1:14" x14ac:dyDescent="0.25">
      <c r="A197" s="302"/>
      <c r="B197" s="302"/>
      <c r="C197" s="288"/>
      <c r="D197" s="288"/>
      <c r="E197" s="1242"/>
      <c r="F197" s="288"/>
      <c r="G197" s="288"/>
      <c r="H197" s="1015"/>
      <c r="I197" s="1015"/>
      <c r="J197" s="1015"/>
      <c r="K197" s="288"/>
      <c r="L197" s="302"/>
      <c r="M197" s="302"/>
      <c r="N197" s="302"/>
    </row>
    <row r="198" spans="1:14" x14ac:dyDescent="0.25">
      <c r="A198" s="302"/>
      <c r="B198" s="302"/>
      <c r="C198" s="288"/>
      <c r="D198" s="288"/>
      <c r="E198" s="1242"/>
      <c r="F198" s="288"/>
      <c r="G198" s="288"/>
      <c r="H198" s="1015"/>
      <c r="I198" s="1015"/>
      <c r="J198" s="1015"/>
      <c r="K198" s="288"/>
      <c r="L198" s="302"/>
      <c r="M198" s="302"/>
      <c r="N198" s="302"/>
    </row>
    <row r="199" spans="1:14" x14ac:dyDescent="0.25">
      <c r="A199" s="302"/>
      <c r="B199" s="302"/>
      <c r="C199" s="288"/>
      <c r="D199" s="288"/>
      <c r="E199" s="1242"/>
      <c r="F199" s="288"/>
      <c r="G199" s="288"/>
      <c r="H199" s="1015"/>
      <c r="I199" s="1015"/>
      <c r="J199" s="1015"/>
      <c r="K199" s="288"/>
      <c r="L199" s="302"/>
      <c r="M199" s="302"/>
      <c r="N199" s="302"/>
    </row>
    <row r="200" spans="1:14" x14ac:dyDescent="0.25">
      <c r="A200" s="302"/>
      <c r="B200" s="302"/>
      <c r="C200" s="288"/>
      <c r="D200" s="288"/>
      <c r="E200" s="1242"/>
      <c r="F200" s="288"/>
      <c r="G200" s="288"/>
      <c r="H200" s="1015"/>
      <c r="I200" s="1015"/>
      <c r="J200" s="1015"/>
      <c r="K200" s="288"/>
      <c r="L200" s="302"/>
      <c r="M200" s="302"/>
      <c r="N200" s="302"/>
    </row>
    <row r="201" spans="1:14" x14ac:dyDescent="0.25">
      <c r="A201" s="302"/>
      <c r="B201" s="302"/>
      <c r="C201" s="288"/>
      <c r="D201" s="288"/>
      <c r="E201" s="1242"/>
      <c r="F201" s="288"/>
      <c r="G201" s="288"/>
      <c r="H201" s="1015"/>
      <c r="I201" s="1015"/>
      <c r="J201" s="1015"/>
      <c r="K201" s="288"/>
      <c r="L201" s="302"/>
      <c r="M201" s="302"/>
      <c r="N201" s="302"/>
    </row>
    <row r="202" spans="1:14" x14ac:dyDescent="0.25">
      <c r="A202" s="302"/>
      <c r="B202" s="302"/>
      <c r="C202" s="288"/>
      <c r="D202" s="288"/>
      <c r="E202" s="1242"/>
      <c r="F202" s="288"/>
      <c r="G202" s="288"/>
      <c r="H202" s="1015"/>
      <c r="I202" s="1015"/>
      <c r="J202" s="1015"/>
      <c r="K202" s="288"/>
      <c r="L202" s="302"/>
      <c r="M202" s="302"/>
      <c r="N202" s="302"/>
    </row>
    <row r="203" spans="1:14" x14ac:dyDescent="0.25">
      <c r="A203" s="302"/>
      <c r="B203" s="302"/>
      <c r="C203" s="288"/>
      <c r="D203" s="288"/>
      <c r="E203" s="1242"/>
      <c r="F203" s="288"/>
      <c r="G203" s="288"/>
      <c r="H203" s="1015"/>
      <c r="I203" s="1015"/>
      <c r="J203" s="1015"/>
      <c r="K203" s="288"/>
      <c r="L203" s="302"/>
      <c r="M203" s="302"/>
      <c r="N203" s="302"/>
    </row>
    <row r="204" spans="1:14" x14ac:dyDescent="0.25">
      <c r="A204" s="302"/>
      <c r="B204" s="302"/>
      <c r="C204" s="288"/>
      <c r="D204" s="288"/>
      <c r="E204" s="1242"/>
      <c r="F204" s="288"/>
      <c r="G204" s="288"/>
      <c r="H204" s="1015"/>
      <c r="I204" s="1015"/>
      <c r="J204" s="1015"/>
      <c r="K204" s="288"/>
      <c r="L204" s="302"/>
      <c r="M204" s="302"/>
      <c r="N204" s="302"/>
    </row>
    <row r="205" spans="1:14" x14ac:dyDescent="0.25">
      <c r="A205" s="302"/>
      <c r="B205" s="302"/>
      <c r="C205" s="288"/>
      <c r="D205" s="288"/>
      <c r="E205" s="1242"/>
      <c r="F205" s="288"/>
      <c r="G205" s="288"/>
      <c r="H205" s="1015"/>
      <c r="I205" s="1015"/>
      <c r="J205" s="1015"/>
      <c r="K205" s="288"/>
      <c r="L205" s="302"/>
      <c r="M205" s="302"/>
      <c r="N205" s="302"/>
    </row>
    <row r="206" spans="1:14" x14ac:dyDescent="0.25">
      <c r="A206" s="302"/>
      <c r="B206" s="302"/>
      <c r="C206" s="288"/>
      <c r="D206" s="288"/>
      <c r="E206" s="1242"/>
      <c r="F206" s="288"/>
      <c r="G206" s="288"/>
      <c r="H206" s="1015"/>
      <c r="I206" s="1015"/>
      <c r="J206" s="1015"/>
      <c r="K206" s="288"/>
      <c r="L206" s="302"/>
      <c r="M206" s="302"/>
      <c r="N206" s="302"/>
    </row>
    <row r="207" spans="1:14" x14ac:dyDescent="0.25">
      <c r="A207" s="302"/>
      <c r="B207" s="302"/>
      <c r="C207" s="288"/>
      <c r="D207" s="288"/>
      <c r="E207" s="1242"/>
      <c r="F207" s="288"/>
      <c r="G207" s="288"/>
      <c r="H207" s="1015"/>
      <c r="I207" s="1015"/>
      <c r="J207" s="1015"/>
      <c r="K207" s="288"/>
      <c r="L207" s="302"/>
      <c r="M207" s="302"/>
      <c r="N207" s="302"/>
    </row>
    <row r="208" spans="1:14" x14ac:dyDescent="0.25">
      <c r="A208" s="302"/>
      <c r="B208" s="302"/>
      <c r="C208" s="288"/>
      <c r="D208" s="288"/>
      <c r="E208" s="1242"/>
      <c r="F208" s="288"/>
      <c r="G208" s="288"/>
      <c r="H208" s="1015"/>
      <c r="I208" s="1015"/>
      <c r="J208" s="1015"/>
      <c r="K208" s="288"/>
      <c r="L208" s="302"/>
      <c r="M208" s="302"/>
      <c r="N208" s="302"/>
    </row>
    <row r="209" spans="1:14" x14ac:dyDescent="0.25">
      <c r="A209" s="302"/>
      <c r="B209" s="302"/>
      <c r="C209" s="288"/>
      <c r="D209" s="288"/>
      <c r="E209" s="1242"/>
      <c r="F209" s="288"/>
      <c r="G209" s="288"/>
      <c r="H209" s="1015"/>
      <c r="I209" s="1015"/>
      <c r="J209" s="1015"/>
      <c r="K209" s="288"/>
      <c r="L209" s="302"/>
      <c r="M209" s="302"/>
      <c r="N209" s="302"/>
    </row>
    <row r="210" spans="1:14" x14ac:dyDescent="0.25">
      <c r="A210" s="302"/>
      <c r="B210" s="302"/>
      <c r="C210" s="288"/>
      <c r="D210" s="288"/>
      <c r="E210" s="1242"/>
      <c r="F210" s="288"/>
      <c r="G210" s="288"/>
      <c r="H210" s="1015"/>
      <c r="I210" s="1015"/>
      <c r="J210" s="1015"/>
      <c r="K210" s="288"/>
      <c r="L210" s="302"/>
      <c r="M210" s="302"/>
      <c r="N210" s="302"/>
    </row>
    <row r="211" spans="1:14" x14ac:dyDescent="0.25">
      <c r="A211" s="302"/>
      <c r="B211" s="302"/>
      <c r="C211" s="288"/>
      <c r="D211" s="288"/>
      <c r="E211" s="1242"/>
      <c r="F211" s="288"/>
      <c r="G211" s="288"/>
      <c r="H211" s="1015"/>
      <c r="I211" s="1015"/>
      <c r="J211" s="1015"/>
      <c r="K211" s="288"/>
      <c r="L211" s="302"/>
      <c r="M211" s="302"/>
      <c r="N211" s="302"/>
    </row>
    <row r="212" spans="1:14" x14ac:dyDescent="0.25">
      <c r="A212" s="302"/>
      <c r="B212" s="302"/>
      <c r="C212" s="288"/>
      <c r="D212" s="288"/>
      <c r="E212" s="1242"/>
      <c r="F212" s="288"/>
      <c r="G212" s="288"/>
      <c r="H212" s="1015"/>
      <c r="I212" s="1015"/>
      <c r="J212" s="1015"/>
      <c r="K212" s="288"/>
      <c r="L212" s="302"/>
      <c r="M212" s="302"/>
      <c r="N212" s="302"/>
    </row>
    <row r="213" spans="1:14" x14ac:dyDescent="0.25">
      <c r="A213" s="302"/>
      <c r="B213" s="302"/>
      <c r="C213" s="288"/>
      <c r="D213" s="288"/>
      <c r="E213" s="1242"/>
      <c r="F213" s="288"/>
      <c r="G213" s="288"/>
      <c r="H213" s="1015"/>
      <c r="I213" s="1015"/>
      <c r="J213" s="1015"/>
      <c r="K213" s="288"/>
      <c r="L213" s="302"/>
      <c r="M213" s="302"/>
      <c r="N213" s="302"/>
    </row>
    <row r="214" spans="1:14" x14ac:dyDescent="0.25">
      <c r="A214" s="302"/>
      <c r="B214" s="302"/>
      <c r="C214" s="288"/>
      <c r="D214" s="288"/>
      <c r="E214" s="1242"/>
      <c r="F214" s="288"/>
      <c r="G214" s="288"/>
      <c r="H214" s="1015"/>
      <c r="I214" s="1015"/>
      <c r="J214" s="1015"/>
      <c r="K214" s="288"/>
      <c r="L214" s="302"/>
      <c r="M214" s="302"/>
      <c r="N214" s="302"/>
    </row>
    <row r="215" spans="1:14" x14ac:dyDescent="0.25">
      <c r="A215" s="302"/>
      <c r="B215" s="302"/>
      <c r="C215" s="288"/>
      <c r="D215" s="288"/>
      <c r="E215" s="1242"/>
      <c r="F215" s="288"/>
      <c r="G215" s="288"/>
      <c r="H215" s="1015"/>
      <c r="I215" s="1015"/>
      <c r="J215" s="1015"/>
      <c r="K215" s="288"/>
      <c r="L215" s="302"/>
      <c r="M215" s="302"/>
      <c r="N215" s="302"/>
    </row>
    <row r="216" spans="1:14" x14ac:dyDescent="0.25">
      <c r="A216" s="302"/>
      <c r="B216" s="302"/>
      <c r="C216" s="288"/>
      <c r="D216" s="288"/>
      <c r="E216" s="1242"/>
      <c r="F216" s="288"/>
      <c r="G216" s="288"/>
      <c r="H216" s="1015"/>
      <c r="I216" s="1015"/>
      <c r="J216" s="1015"/>
      <c r="K216" s="288"/>
      <c r="L216" s="302"/>
      <c r="M216" s="302"/>
      <c r="N216" s="302"/>
    </row>
    <row r="217" spans="1:14" x14ac:dyDescent="0.25">
      <c r="A217" s="302"/>
      <c r="B217" s="302"/>
      <c r="C217" s="288"/>
      <c r="D217" s="288"/>
      <c r="E217" s="1242"/>
      <c r="F217" s="288"/>
      <c r="G217" s="288"/>
      <c r="H217" s="1015"/>
      <c r="I217" s="1015"/>
      <c r="J217" s="1015"/>
      <c r="K217" s="288"/>
      <c r="L217" s="302"/>
      <c r="M217" s="302"/>
      <c r="N217" s="302"/>
    </row>
    <row r="218" spans="1:14" x14ac:dyDescent="0.25">
      <c r="A218" s="302"/>
      <c r="B218" s="302"/>
      <c r="C218" s="288"/>
      <c r="D218" s="288"/>
      <c r="E218" s="1242"/>
      <c r="F218" s="288"/>
      <c r="G218" s="288"/>
      <c r="H218" s="1015"/>
      <c r="I218" s="1015"/>
      <c r="J218" s="1015"/>
      <c r="K218" s="288"/>
      <c r="L218" s="302"/>
      <c r="M218" s="302"/>
      <c r="N218" s="302"/>
    </row>
    <row r="219" spans="1:14" x14ac:dyDescent="0.25">
      <c r="A219" s="302"/>
      <c r="B219" s="302"/>
      <c r="C219" s="288"/>
      <c r="D219" s="288"/>
      <c r="E219" s="1242"/>
      <c r="F219" s="288"/>
      <c r="G219" s="288"/>
      <c r="H219" s="1015"/>
      <c r="I219" s="1015"/>
      <c r="J219" s="1015"/>
      <c r="K219" s="288"/>
      <c r="L219" s="302"/>
      <c r="M219" s="302"/>
      <c r="N219" s="302"/>
    </row>
    <row r="220" spans="1:14" x14ac:dyDescent="0.25">
      <c r="A220" s="302"/>
      <c r="B220" s="302"/>
      <c r="C220" s="288"/>
      <c r="D220" s="288"/>
      <c r="E220" s="1242"/>
      <c r="F220" s="288"/>
      <c r="G220" s="288"/>
      <c r="H220" s="1015"/>
      <c r="I220" s="1015"/>
      <c r="J220" s="1015"/>
      <c r="K220" s="288"/>
      <c r="L220" s="302"/>
      <c r="M220" s="302"/>
      <c r="N220" s="302"/>
    </row>
    <row r="221" spans="1:14" x14ac:dyDescent="0.25">
      <c r="A221" s="302"/>
      <c r="B221" s="302"/>
      <c r="C221" s="288"/>
      <c r="D221" s="288"/>
      <c r="E221" s="1242"/>
      <c r="F221" s="288"/>
      <c r="G221" s="288"/>
      <c r="H221" s="1015"/>
      <c r="I221" s="1015"/>
      <c r="J221" s="1015"/>
      <c r="K221" s="288"/>
      <c r="L221" s="302"/>
      <c r="M221" s="302"/>
      <c r="N221" s="302"/>
    </row>
    <row r="222" spans="1:14" x14ac:dyDescent="0.25">
      <c r="A222" s="302"/>
      <c r="B222" s="302"/>
      <c r="C222" s="288"/>
      <c r="D222" s="288"/>
      <c r="E222" s="1242"/>
      <c r="F222" s="288"/>
      <c r="G222" s="288"/>
      <c r="H222" s="1015"/>
      <c r="I222" s="1015"/>
      <c r="J222" s="1015"/>
      <c r="K222" s="288"/>
      <c r="L222" s="302"/>
      <c r="M222" s="302"/>
      <c r="N222" s="302"/>
    </row>
    <row r="223" spans="1:14" x14ac:dyDescent="0.25">
      <c r="A223" s="302"/>
      <c r="B223" s="302"/>
      <c r="C223" s="288"/>
      <c r="D223" s="288"/>
      <c r="E223" s="1242"/>
      <c r="F223" s="288"/>
      <c r="G223" s="288"/>
      <c r="H223" s="1015"/>
      <c r="I223" s="1015"/>
      <c r="J223" s="1015"/>
      <c r="K223" s="288"/>
      <c r="L223" s="302"/>
      <c r="M223" s="302"/>
      <c r="N223" s="302"/>
    </row>
    <row r="224" spans="1:14" x14ac:dyDescent="0.25">
      <c r="A224" s="302"/>
      <c r="B224" s="302"/>
      <c r="C224" s="288"/>
      <c r="D224" s="288"/>
      <c r="E224" s="1242"/>
      <c r="F224" s="288"/>
      <c r="G224" s="288"/>
      <c r="H224" s="1015"/>
      <c r="I224" s="1015"/>
      <c r="J224" s="1015"/>
      <c r="K224" s="288"/>
      <c r="L224" s="302"/>
      <c r="M224" s="302"/>
      <c r="N224" s="302"/>
    </row>
    <row r="225" spans="1:14" x14ac:dyDescent="0.25">
      <c r="A225" s="302"/>
      <c r="B225" s="302"/>
      <c r="C225" s="288"/>
      <c r="D225" s="288"/>
      <c r="E225" s="1242"/>
      <c r="F225" s="288"/>
      <c r="G225" s="288"/>
      <c r="H225" s="1015"/>
      <c r="I225" s="1015"/>
      <c r="J225" s="1015"/>
      <c r="K225" s="288"/>
      <c r="L225" s="302"/>
      <c r="M225" s="302"/>
      <c r="N225" s="302"/>
    </row>
    <row r="226" spans="1:14" x14ac:dyDescent="0.25">
      <c r="A226" s="302"/>
      <c r="B226" s="302"/>
      <c r="C226" s="288"/>
      <c r="D226" s="288"/>
      <c r="E226" s="1242"/>
      <c r="F226" s="288"/>
      <c r="G226" s="288"/>
      <c r="H226" s="1015"/>
      <c r="I226" s="1015"/>
      <c r="J226" s="1015"/>
      <c r="K226" s="288"/>
      <c r="L226" s="302"/>
      <c r="M226" s="302"/>
      <c r="N226" s="302"/>
    </row>
    <row r="227" spans="1:14" x14ac:dyDescent="0.25">
      <c r="A227" s="302"/>
      <c r="B227" s="302"/>
      <c r="C227" s="288"/>
      <c r="D227" s="288"/>
      <c r="E227" s="1242"/>
      <c r="F227" s="288"/>
      <c r="G227" s="288"/>
      <c r="H227" s="1015"/>
      <c r="I227" s="1015"/>
      <c r="J227" s="1015"/>
      <c r="K227" s="288"/>
      <c r="L227" s="302"/>
      <c r="M227" s="302"/>
      <c r="N227" s="302"/>
    </row>
    <row r="228" spans="1:14" x14ac:dyDescent="0.25">
      <c r="A228" s="302"/>
      <c r="B228" s="302"/>
      <c r="C228" s="288"/>
      <c r="D228" s="288"/>
      <c r="E228" s="1242"/>
      <c r="F228" s="288"/>
      <c r="G228" s="288"/>
      <c r="H228" s="1015"/>
      <c r="I228" s="1015"/>
      <c r="J228" s="1015"/>
      <c r="K228" s="288"/>
      <c r="L228" s="302"/>
      <c r="M228" s="302"/>
      <c r="N228" s="302"/>
    </row>
    <row r="229" spans="1:14" x14ac:dyDescent="0.25">
      <c r="A229" s="302"/>
      <c r="B229" s="302"/>
      <c r="C229" s="288"/>
      <c r="D229" s="288"/>
      <c r="E229" s="1242"/>
      <c r="F229" s="288"/>
      <c r="G229" s="288"/>
      <c r="H229" s="1015"/>
      <c r="I229" s="1015"/>
      <c r="J229" s="1015"/>
      <c r="K229" s="288"/>
      <c r="L229" s="302"/>
      <c r="M229" s="302"/>
      <c r="N229" s="302"/>
    </row>
    <row r="230" spans="1:14" x14ac:dyDescent="0.25">
      <c r="A230" s="302"/>
      <c r="B230" s="302"/>
      <c r="C230" s="288"/>
      <c r="D230" s="288"/>
      <c r="E230" s="1242"/>
      <c r="F230" s="288"/>
      <c r="G230" s="288"/>
      <c r="H230" s="1015"/>
      <c r="I230" s="1015"/>
      <c r="J230" s="1015"/>
      <c r="K230" s="288"/>
      <c r="L230" s="302"/>
      <c r="M230" s="302"/>
      <c r="N230" s="302"/>
    </row>
    <row r="231" spans="1:14" x14ac:dyDescent="0.25">
      <c r="A231" s="302"/>
      <c r="B231" s="302"/>
      <c r="C231" s="288"/>
      <c r="D231" s="288"/>
      <c r="E231" s="1242"/>
      <c r="F231" s="288"/>
      <c r="G231" s="288"/>
      <c r="H231" s="1015"/>
      <c r="I231" s="1015"/>
      <c r="J231" s="1015"/>
      <c r="K231" s="288"/>
      <c r="L231" s="302"/>
      <c r="M231" s="302"/>
      <c r="N231" s="302"/>
    </row>
    <row r="232" spans="1:14" x14ac:dyDescent="0.25">
      <c r="A232" s="302"/>
      <c r="B232" s="302"/>
      <c r="C232" s="288"/>
      <c r="D232" s="288"/>
      <c r="E232" s="1242"/>
      <c r="F232" s="288"/>
      <c r="G232" s="288"/>
      <c r="H232" s="1015"/>
      <c r="I232" s="1015"/>
      <c r="J232" s="1015"/>
      <c r="K232" s="288"/>
      <c r="L232" s="302"/>
      <c r="M232" s="302"/>
      <c r="N232" s="302"/>
    </row>
    <row r="233" spans="1:14" x14ac:dyDescent="0.25">
      <c r="A233" s="302"/>
      <c r="B233" s="302"/>
      <c r="C233" s="288"/>
      <c r="D233" s="288"/>
      <c r="E233" s="1242"/>
      <c r="F233" s="288"/>
      <c r="G233" s="288"/>
      <c r="H233" s="1015"/>
      <c r="I233" s="1015"/>
      <c r="J233" s="1015"/>
      <c r="K233" s="288"/>
      <c r="L233" s="302"/>
      <c r="M233" s="302"/>
      <c r="N233" s="302"/>
    </row>
    <row r="234" spans="1:14" x14ac:dyDescent="0.25">
      <c r="A234" s="302"/>
      <c r="B234" s="302"/>
      <c r="C234" s="288"/>
      <c r="D234" s="288"/>
      <c r="E234" s="1242"/>
      <c r="F234" s="288"/>
      <c r="G234" s="288"/>
      <c r="H234" s="1015"/>
      <c r="I234" s="1015"/>
      <c r="J234" s="1015"/>
      <c r="K234" s="288"/>
      <c r="L234" s="302"/>
      <c r="M234" s="302"/>
      <c r="N234" s="302"/>
    </row>
    <row r="235" spans="1:14" x14ac:dyDescent="0.25">
      <c r="A235" s="302"/>
      <c r="B235" s="302"/>
      <c r="C235" s="288"/>
      <c r="D235" s="288"/>
      <c r="E235" s="1242"/>
      <c r="F235" s="288"/>
      <c r="G235" s="288"/>
      <c r="H235" s="1015"/>
      <c r="I235" s="1015"/>
      <c r="J235" s="1015"/>
      <c r="K235" s="288"/>
      <c r="L235" s="302"/>
      <c r="M235" s="302"/>
      <c r="N235" s="302"/>
    </row>
    <row r="236" spans="1:14" x14ac:dyDescent="0.25">
      <c r="A236" s="302"/>
      <c r="B236" s="302"/>
      <c r="C236" s="288"/>
      <c r="D236" s="288"/>
      <c r="E236" s="1242"/>
      <c r="F236" s="288"/>
      <c r="G236" s="288"/>
      <c r="H236" s="1015"/>
      <c r="I236" s="1015"/>
      <c r="J236" s="1015"/>
      <c r="K236" s="288"/>
      <c r="L236" s="302"/>
      <c r="M236" s="302"/>
      <c r="N236" s="302"/>
    </row>
    <row r="237" spans="1:14" x14ac:dyDescent="0.25">
      <c r="A237" s="302"/>
      <c r="B237" s="302"/>
      <c r="C237" s="288"/>
      <c r="D237" s="288"/>
      <c r="E237" s="1242"/>
      <c r="F237" s="288"/>
      <c r="G237" s="288"/>
      <c r="H237" s="1015"/>
      <c r="I237" s="1015"/>
      <c r="J237" s="1015"/>
      <c r="K237" s="288"/>
      <c r="L237" s="302"/>
      <c r="M237" s="302"/>
      <c r="N237" s="302"/>
    </row>
    <row r="238" spans="1:14" x14ac:dyDescent="0.25">
      <c r="A238" s="302"/>
      <c r="B238" s="302"/>
      <c r="C238" s="288"/>
      <c r="D238" s="288"/>
      <c r="E238" s="1242"/>
      <c r="F238" s="288"/>
      <c r="G238" s="288"/>
      <c r="H238" s="1015"/>
      <c r="I238" s="1015"/>
      <c r="J238" s="1015"/>
      <c r="K238" s="288"/>
      <c r="L238" s="302"/>
      <c r="M238" s="302"/>
      <c r="N238" s="302"/>
    </row>
    <row r="239" spans="1:14" x14ac:dyDescent="0.25">
      <c r="A239" s="302"/>
      <c r="B239" s="302"/>
      <c r="C239" s="288"/>
      <c r="D239" s="288"/>
      <c r="E239" s="1242"/>
      <c r="F239" s="288"/>
      <c r="G239" s="288"/>
      <c r="H239" s="1015"/>
      <c r="I239" s="1015"/>
      <c r="J239" s="1015"/>
      <c r="K239" s="288"/>
      <c r="L239" s="302"/>
      <c r="M239" s="302"/>
      <c r="N239" s="302"/>
    </row>
    <row r="240" spans="1:14" x14ac:dyDescent="0.25">
      <c r="A240" s="302"/>
      <c r="B240" s="302"/>
      <c r="C240" s="288"/>
      <c r="D240" s="288"/>
      <c r="E240" s="1242"/>
      <c r="F240" s="288"/>
      <c r="G240" s="288"/>
      <c r="H240" s="1015"/>
      <c r="I240" s="1015"/>
      <c r="J240" s="1015"/>
      <c r="K240" s="288"/>
      <c r="L240" s="302"/>
      <c r="M240" s="302"/>
      <c r="N240" s="302"/>
    </row>
    <row r="241" spans="1:14" x14ac:dyDescent="0.25">
      <c r="A241" s="302"/>
      <c r="B241" s="302"/>
      <c r="C241" s="288"/>
      <c r="D241" s="288"/>
      <c r="E241" s="1242"/>
      <c r="F241" s="288"/>
      <c r="G241" s="288"/>
      <c r="H241" s="1015"/>
      <c r="I241" s="1015"/>
      <c r="J241" s="1015"/>
      <c r="K241" s="288"/>
      <c r="L241" s="302"/>
      <c r="M241" s="302"/>
      <c r="N241" s="302"/>
    </row>
    <row r="242" spans="1:14" x14ac:dyDescent="0.25">
      <c r="A242" s="302"/>
      <c r="B242" s="302"/>
      <c r="C242" s="288"/>
      <c r="D242" s="288"/>
      <c r="E242" s="1242"/>
      <c r="F242" s="288"/>
      <c r="G242" s="288"/>
      <c r="H242" s="1015"/>
      <c r="I242" s="1015"/>
      <c r="J242" s="1015"/>
      <c r="K242" s="288"/>
      <c r="L242" s="302"/>
      <c r="M242" s="302"/>
      <c r="N242" s="302"/>
    </row>
    <row r="243" spans="1:14" x14ac:dyDescent="0.25">
      <c r="A243" s="302"/>
      <c r="B243" s="302"/>
      <c r="C243" s="288"/>
      <c r="D243" s="288"/>
      <c r="E243" s="1242"/>
      <c r="F243" s="288"/>
      <c r="G243" s="288"/>
      <c r="H243" s="1015"/>
      <c r="I243" s="1015"/>
      <c r="J243" s="1015"/>
      <c r="K243" s="288"/>
      <c r="L243" s="302"/>
      <c r="M243" s="302"/>
      <c r="N243" s="302"/>
    </row>
    <row r="244" spans="1:14" x14ac:dyDescent="0.25">
      <c r="A244" s="302"/>
      <c r="B244" s="302"/>
      <c r="C244" s="288"/>
      <c r="D244" s="288"/>
      <c r="E244" s="1242"/>
      <c r="F244" s="288"/>
      <c r="G244" s="288"/>
      <c r="H244" s="1015"/>
      <c r="I244" s="1015"/>
      <c r="J244" s="1015"/>
      <c r="K244" s="288"/>
      <c r="L244" s="302"/>
      <c r="M244" s="302"/>
      <c r="N244" s="302"/>
    </row>
    <row r="245" spans="1:14" x14ac:dyDescent="0.25">
      <c r="A245" s="302"/>
      <c r="B245" s="302"/>
      <c r="C245" s="288"/>
      <c r="D245" s="288"/>
      <c r="E245" s="1242"/>
      <c r="F245" s="288"/>
      <c r="G245" s="288"/>
      <c r="H245" s="1015"/>
      <c r="I245" s="1015"/>
      <c r="J245" s="1015"/>
      <c r="K245" s="288"/>
      <c r="L245" s="302"/>
      <c r="M245" s="302"/>
      <c r="N245" s="302"/>
    </row>
    <row r="246" spans="1:14" x14ac:dyDescent="0.25">
      <c r="A246" s="302"/>
      <c r="B246" s="302"/>
      <c r="C246" s="288"/>
      <c r="D246" s="288"/>
      <c r="E246" s="1242"/>
      <c r="F246" s="288"/>
      <c r="G246" s="288"/>
      <c r="H246" s="1015"/>
      <c r="I246" s="1015"/>
      <c r="J246" s="1015"/>
      <c r="K246" s="288"/>
      <c r="L246" s="302"/>
      <c r="M246" s="302"/>
      <c r="N246" s="302"/>
    </row>
    <row r="247" spans="1:14" x14ac:dyDescent="0.25">
      <c r="A247" s="302"/>
      <c r="B247" s="302"/>
      <c r="C247" s="288"/>
      <c r="D247" s="288"/>
      <c r="E247" s="1242"/>
      <c r="F247" s="288"/>
      <c r="G247" s="288"/>
      <c r="H247" s="1015"/>
      <c r="I247" s="1015"/>
      <c r="J247" s="1015"/>
      <c r="K247" s="288"/>
      <c r="L247" s="302"/>
      <c r="M247" s="302"/>
      <c r="N247" s="302"/>
    </row>
    <row r="248" spans="1:14" x14ac:dyDescent="0.25">
      <c r="A248" s="302"/>
      <c r="B248" s="302"/>
      <c r="C248" s="288"/>
      <c r="D248" s="288"/>
      <c r="E248" s="1242"/>
      <c r="F248" s="288"/>
      <c r="G248" s="288"/>
      <c r="H248" s="1015"/>
      <c r="I248" s="1015"/>
      <c r="J248" s="1015"/>
      <c r="K248" s="288"/>
      <c r="L248" s="302"/>
      <c r="M248" s="302"/>
      <c r="N248" s="302"/>
    </row>
    <row r="249" spans="1:14" x14ac:dyDescent="0.25">
      <c r="A249" s="302"/>
      <c r="B249" s="302"/>
      <c r="C249" s="288"/>
      <c r="D249" s="288"/>
      <c r="E249" s="1242"/>
      <c r="F249" s="288"/>
      <c r="G249" s="288"/>
      <c r="H249" s="1015"/>
      <c r="I249" s="1015"/>
      <c r="J249" s="1015"/>
      <c r="K249" s="288"/>
      <c r="L249" s="302"/>
      <c r="M249" s="302"/>
      <c r="N249" s="302"/>
    </row>
    <row r="250" spans="1:14" x14ac:dyDescent="0.25">
      <c r="A250" s="302"/>
      <c r="B250" s="302"/>
      <c r="C250" s="288"/>
      <c r="D250" s="288"/>
      <c r="E250" s="1242"/>
      <c r="F250" s="288"/>
      <c r="G250" s="288"/>
      <c r="H250" s="1015"/>
      <c r="I250" s="1015"/>
      <c r="J250" s="1015"/>
      <c r="K250" s="288"/>
      <c r="L250" s="302"/>
      <c r="M250" s="302"/>
      <c r="N250" s="302"/>
    </row>
    <row r="251" spans="1:14" x14ac:dyDescent="0.25">
      <c r="A251" s="302"/>
      <c r="B251" s="302"/>
      <c r="C251" s="288"/>
      <c r="D251" s="288"/>
      <c r="E251" s="1242"/>
      <c r="F251" s="288"/>
      <c r="G251" s="288"/>
      <c r="H251" s="1015"/>
      <c r="I251" s="1015"/>
      <c r="J251" s="1015"/>
      <c r="K251" s="288"/>
      <c r="L251" s="302"/>
      <c r="M251" s="302"/>
      <c r="N251" s="302"/>
    </row>
    <row r="252" spans="1:14" x14ac:dyDescent="0.25">
      <c r="A252" s="302"/>
      <c r="B252" s="302"/>
      <c r="C252" s="288"/>
      <c r="D252" s="288"/>
      <c r="E252" s="1242"/>
      <c r="F252" s="288"/>
      <c r="G252" s="288"/>
      <c r="H252" s="1015"/>
      <c r="I252" s="1015"/>
      <c r="J252" s="1015"/>
      <c r="K252" s="288"/>
      <c r="L252" s="302"/>
      <c r="M252" s="302"/>
      <c r="N252" s="302"/>
    </row>
    <row r="253" spans="1:14" x14ac:dyDescent="0.25">
      <c r="A253" s="302"/>
      <c r="B253" s="302"/>
      <c r="C253" s="288"/>
      <c r="D253" s="288"/>
      <c r="E253" s="1242"/>
      <c r="F253" s="288"/>
      <c r="G253" s="288"/>
      <c r="H253" s="1015"/>
      <c r="I253" s="1015"/>
      <c r="J253" s="1015"/>
      <c r="K253" s="288"/>
      <c r="L253" s="302"/>
      <c r="M253" s="302"/>
      <c r="N253" s="302"/>
    </row>
    <row r="254" spans="1:14" x14ac:dyDescent="0.25">
      <c r="A254" s="302"/>
      <c r="B254" s="302"/>
      <c r="C254" s="288"/>
      <c r="D254" s="288"/>
      <c r="E254" s="1242"/>
      <c r="F254" s="288"/>
      <c r="G254" s="288"/>
      <c r="H254" s="1015"/>
      <c r="I254" s="1015"/>
      <c r="J254" s="1015"/>
      <c r="K254" s="288"/>
      <c r="L254" s="302"/>
      <c r="M254" s="302"/>
      <c r="N254" s="302"/>
    </row>
    <row r="255" spans="1:14" x14ac:dyDescent="0.25">
      <c r="A255" s="302"/>
      <c r="B255" s="302"/>
      <c r="C255" s="288"/>
      <c r="D255" s="288"/>
      <c r="E255" s="1242"/>
      <c r="F255" s="288"/>
      <c r="G255" s="288"/>
      <c r="H255" s="1015"/>
      <c r="I255" s="1015"/>
      <c r="J255" s="1015"/>
      <c r="K255" s="288"/>
      <c r="L255" s="302"/>
      <c r="M255" s="302"/>
      <c r="N255" s="302"/>
    </row>
    <row r="256" spans="1:14" x14ac:dyDescent="0.25">
      <c r="A256" s="302"/>
      <c r="B256" s="302"/>
      <c r="C256" s="288"/>
      <c r="D256" s="288"/>
      <c r="E256" s="1242"/>
      <c r="F256" s="288"/>
      <c r="G256" s="288"/>
      <c r="H256" s="1015"/>
      <c r="I256" s="1015"/>
      <c r="J256" s="1015"/>
      <c r="K256" s="288"/>
      <c r="L256" s="302"/>
      <c r="M256" s="302"/>
      <c r="N256" s="302"/>
    </row>
    <row r="257" spans="1:14" x14ac:dyDescent="0.25">
      <c r="A257" s="302"/>
      <c r="B257" s="302"/>
      <c r="C257" s="288"/>
      <c r="D257" s="288"/>
      <c r="E257" s="1242"/>
      <c r="F257" s="288"/>
      <c r="G257" s="288"/>
      <c r="H257" s="1015"/>
      <c r="I257" s="1015"/>
      <c r="J257" s="1015"/>
      <c r="K257" s="288"/>
      <c r="L257" s="302"/>
      <c r="M257" s="302"/>
      <c r="N257" s="302"/>
    </row>
    <row r="258" spans="1:14" x14ac:dyDescent="0.25">
      <c r="A258" s="302"/>
      <c r="B258" s="302"/>
      <c r="C258" s="288"/>
      <c r="D258" s="288"/>
      <c r="E258" s="1242"/>
      <c r="F258" s="288"/>
      <c r="G258" s="288"/>
      <c r="H258" s="1015"/>
      <c r="I258" s="1015"/>
      <c r="J258" s="1015"/>
      <c r="K258" s="288"/>
      <c r="L258" s="302"/>
      <c r="M258" s="302"/>
      <c r="N258" s="302"/>
    </row>
    <row r="259" spans="1:14" x14ac:dyDescent="0.25">
      <c r="A259" s="302"/>
      <c r="B259" s="302"/>
      <c r="C259" s="288"/>
      <c r="D259" s="288"/>
      <c r="E259" s="1242"/>
      <c r="F259" s="288"/>
      <c r="G259" s="288"/>
      <c r="H259" s="1015"/>
      <c r="I259" s="1015"/>
      <c r="J259" s="1015"/>
      <c r="K259" s="288"/>
      <c r="L259" s="302"/>
      <c r="M259" s="302"/>
      <c r="N259" s="302"/>
    </row>
    <row r="260" spans="1:14" x14ac:dyDescent="0.25">
      <c r="A260" s="302"/>
      <c r="B260" s="302"/>
      <c r="C260" s="288"/>
      <c r="D260" s="288"/>
      <c r="E260" s="1242"/>
      <c r="F260" s="288"/>
      <c r="G260" s="288"/>
      <c r="H260" s="1015"/>
      <c r="I260" s="1015"/>
      <c r="J260" s="1015"/>
      <c r="K260" s="288"/>
      <c r="L260" s="302"/>
      <c r="M260" s="302"/>
      <c r="N260" s="302"/>
    </row>
    <row r="261" spans="1:14" x14ac:dyDescent="0.25">
      <c r="A261" s="302"/>
      <c r="B261" s="302"/>
      <c r="C261" s="288"/>
      <c r="D261" s="288"/>
      <c r="E261" s="1242"/>
      <c r="F261" s="288"/>
      <c r="G261" s="288"/>
      <c r="H261" s="1015"/>
      <c r="I261" s="1015"/>
      <c r="J261" s="1015"/>
      <c r="K261" s="288"/>
      <c r="L261" s="302"/>
      <c r="M261" s="302"/>
      <c r="N261" s="302"/>
    </row>
    <row r="262" spans="1:14" x14ac:dyDescent="0.25">
      <c r="A262" s="302"/>
      <c r="B262" s="302"/>
      <c r="C262" s="288"/>
      <c r="D262" s="288"/>
      <c r="E262" s="1242"/>
      <c r="F262" s="288"/>
      <c r="G262" s="288"/>
      <c r="H262" s="1015"/>
      <c r="I262" s="1015"/>
      <c r="J262" s="1015"/>
      <c r="K262" s="288"/>
      <c r="L262" s="302"/>
      <c r="M262" s="302"/>
      <c r="N262" s="302"/>
    </row>
    <row r="263" spans="1:14" x14ac:dyDescent="0.25">
      <c r="A263" s="302"/>
      <c r="B263" s="302"/>
      <c r="C263" s="288"/>
      <c r="D263" s="288"/>
      <c r="E263" s="1242"/>
      <c r="F263" s="288"/>
      <c r="G263" s="288"/>
      <c r="H263" s="1015"/>
      <c r="I263" s="1015"/>
      <c r="J263" s="1015"/>
      <c r="K263" s="288"/>
      <c r="L263" s="302"/>
      <c r="M263" s="302"/>
      <c r="N263" s="302"/>
    </row>
    <row r="264" spans="1:14" x14ac:dyDescent="0.25">
      <c r="A264" s="302"/>
      <c r="B264" s="302"/>
      <c r="C264" s="288"/>
      <c r="D264" s="288"/>
      <c r="E264" s="1242"/>
      <c r="F264" s="288"/>
      <c r="G264" s="288"/>
      <c r="H264" s="1015"/>
      <c r="I264" s="1015"/>
      <c r="J264" s="1015"/>
      <c r="K264" s="288"/>
      <c r="L264" s="302"/>
      <c r="M264" s="302"/>
      <c r="N264" s="302"/>
    </row>
    <row r="265" spans="1:14" x14ac:dyDescent="0.25">
      <c r="A265" s="302"/>
      <c r="B265" s="302"/>
      <c r="C265" s="288"/>
      <c r="D265" s="288"/>
      <c r="E265" s="1242"/>
      <c r="F265" s="288"/>
      <c r="G265" s="288"/>
      <c r="H265" s="1015"/>
      <c r="I265" s="1015"/>
      <c r="J265" s="1015"/>
      <c r="K265" s="288"/>
      <c r="L265" s="302"/>
      <c r="M265" s="302"/>
      <c r="N265" s="302"/>
    </row>
    <row r="266" spans="1:14" x14ac:dyDescent="0.25">
      <c r="A266" s="302"/>
      <c r="B266" s="302"/>
      <c r="C266" s="288"/>
      <c r="D266" s="288"/>
      <c r="E266" s="1242"/>
      <c r="F266" s="288"/>
      <c r="G266" s="288"/>
      <c r="H266" s="1015"/>
      <c r="I266" s="1015"/>
      <c r="J266" s="1015"/>
      <c r="K266" s="288"/>
      <c r="L266" s="302"/>
      <c r="M266" s="302"/>
      <c r="N266" s="302"/>
    </row>
    <row r="267" spans="1:14" x14ac:dyDescent="0.25">
      <c r="A267" s="302"/>
      <c r="B267" s="302"/>
      <c r="C267" s="288"/>
      <c r="D267" s="288"/>
      <c r="E267" s="1242"/>
      <c r="F267" s="288"/>
      <c r="G267" s="288"/>
      <c r="H267" s="1015"/>
      <c r="I267" s="1015"/>
      <c r="J267" s="1015"/>
      <c r="K267" s="288"/>
      <c r="L267" s="302"/>
      <c r="M267" s="302"/>
      <c r="N267" s="302"/>
    </row>
    <row r="268" spans="1:14" x14ac:dyDescent="0.25">
      <c r="A268" s="302"/>
      <c r="B268" s="302"/>
      <c r="C268" s="288"/>
      <c r="D268" s="288"/>
      <c r="E268" s="1242"/>
      <c r="F268" s="288"/>
      <c r="G268" s="288"/>
      <c r="H268" s="1015"/>
      <c r="I268" s="1015"/>
      <c r="J268" s="1015"/>
      <c r="K268" s="288"/>
      <c r="L268" s="302"/>
      <c r="M268" s="302"/>
      <c r="N268" s="302"/>
    </row>
    <row r="269" spans="1:14" x14ac:dyDescent="0.25">
      <c r="A269" s="302"/>
      <c r="B269" s="302"/>
      <c r="C269" s="288"/>
      <c r="D269" s="288"/>
      <c r="E269" s="1242"/>
      <c r="F269" s="288"/>
      <c r="G269" s="288"/>
      <c r="H269" s="1015"/>
      <c r="I269" s="1015"/>
      <c r="J269" s="1015"/>
      <c r="K269" s="288"/>
      <c r="L269" s="302"/>
      <c r="M269" s="302"/>
      <c r="N269" s="302"/>
    </row>
    <row r="270" spans="1:14" x14ac:dyDescent="0.25">
      <c r="A270" s="302"/>
      <c r="B270" s="302"/>
      <c r="C270" s="288"/>
      <c r="D270" s="288"/>
      <c r="E270" s="1242"/>
      <c r="F270" s="288"/>
      <c r="G270" s="288"/>
      <c r="H270" s="1015"/>
      <c r="I270" s="1015"/>
      <c r="J270" s="1015"/>
      <c r="K270" s="288"/>
      <c r="L270" s="302"/>
      <c r="M270" s="302"/>
      <c r="N270" s="302"/>
    </row>
    <row r="271" spans="1:14" x14ac:dyDescent="0.25">
      <c r="A271" s="302"/>
      <c r="B271" s="302"/>
      <c r="C271" s="288"/>
      <c r="D271" s="288"/>
      <c r="E271" s="1242"/>
      <c r="F271" s="288"/>
      <c r="G271" s="288"/>
      <c r="H271" s="1015"/>
      <c r="I271" s="1015"/>
      <c r="J271" s="1015"/>
      <c r="K271" s="288"/>
      <c r="L271" s="302"/>
      <c r="M271" s="302"/>
      <c r="N271" s="302"/>
    </row>
    <row r="272" spans="1:14" x14ac:dyDescent="0.25">
      <c r="A272" s="302"/>
      <c r="B272" s="302"/>
      <c r="C272" s="288"/>
      <c r="D272" s="288"/>
      <c r="E272" s="1242"/>
      <c r="F272" s="288"/>
      <c r="G272" s="288"/>
      <c r="H272" s="1015"/>
      <c r="I272" s="1015"/>
      <c r="J272" s="1015"/>
      <c r="K272" s="288"/>
      <c r="L272" s="302"/>
      <c r="M272" s="302"/>
      <c r="N272" s="302"/>
    </row>
    <row r="273" spans="1:14" x14ac:dyDescent="0.25">
      <c r="A273" s="302"/>
      <c r="B273" s="302"/>
      <c r="C273" s="288"/>
      <c r="D273" s="288"/>
      <c r="E273" s="1242"/>
      <c r="F273" s="288"/>
      <c r="G273" s="288"/>
      <c r="H273" s="1015"/>
      <c r="I273" s="1015"/>
      <c r="J273" s="1015"/>
      <c r="K273" s="288"/>
      <c r="L273" s="302"/>
      <c r="M273" s="302"/>
      <c r="N273" s="302"/>
    </row>
    <row r="274" spans="1:14" x14ac:dyDescent="0.25">
      <c r="A274" s="302"/>
      <c r="B274" s="302"/>
      <c r="C274" s="288"/>
      <c r="D274" s="288"/>
      <c r="E274" s="1242"/>
      <c r="F274" s="288"/>
      <c r="G274" s="288"/>
      <c r="H274" s="1015"/>
      <c r="I274" s="1015"/>
      <c r="J274" s="1015"/>
      <c r="K274" s="288"/>
      <c r="L274" s="302"/>
      <c r="M274" s="302"/>
      <c r="N274" s="302"/>
    </row>
    <row r="275" spans="1:14" x14ac:dyDescent="0.25">
      <c r="A275" s="302"/>
      <c r="B275" s="302"/>
      <c r="C275" s="288"/>
      <c r="D275" s="288"/>
      <c r="E275" s="1242"/>
      <c r="F275" s="288"/>
      <c r="G275" s="288"/>
      <c r="H275" s="1015"/>
      <c r="I275" s="1015"/>
      <c r="J275" s="1015"/>
      <c r="K275" s="288"/>
      <c r="L275" s="302"/>
      <c r="M275" s="302"/>
      <c r="N275" s="302"/>
    </row>
    <row r="276" spans="1:14" x14ac:dyDescent="0.25">
      <c r="A276" s="302"/>
      <c r="B276" s="302"/>
      <c r="C276" s="288"/>
      <c r="D276" s="288"/>
      <c r="E276" s="1242"/>
      <c r="F276" s="288"/>
      <c r="G276" s="288"/>
      <c r="H276" s="1015"/>
      <c r="I276" s="1015"/>
      <c r="J276" s="1015"/>
      <c r="K276" s="288"/>
      <c r="L276" s="302"/>
      <c r="M276" s="302"/>
      <c r="N276" s="302"/>
    </row>
    <row r="277" spans="1:14" x14ac:dyDescent="0.25">
      <c r="A277" s="302"/>
      <c r="B277" s="302"/>
      <c r="C277" s="288"/>
      <c r="D277" s="288"/>
      <c r="E277" s="1242"/>
      <c r="F277" s="288"/>
      <c r="G277" s="288"/>
      <c r="H277" s="1015"/>
      <c r="I277" s="1015"/>
      <c r="J277" s="1015"/>
      <c r="K277" s="288"/>
      <c r="L277" s="302"/>
      <c r="M277" s="302"/>
      <c r="N277" s="302"/>
    </row>
    <row r="278" spans="1:14" x14ac:dyDescent="0.25">
      <c r="A278" s="302"/>
      <c r="B278" s="302"/>
      <c r="C278" s="288"/>
      <c r="D278" s="288"/>
      <c r="E278" s="1242"/>
      <c r="F278" s="288"/>
      <c r="G278" s="288"/>
      <c r="H278" s="1015"/>
      <c r="I278" s="1015"/>
      <c r="J278" s="1015"/>
      <c r="K278" s="288"/>
      <c r="L278" s="302"/>
      <c r="M278" s="302"/>
      <c r="N278" s="302"/>
    </row>
    <row r="279" spans="1:14" x14ac:dyDescent="0.25">
      <c r="A279" s="302"/>
      <c r="B279" s="302"/>
      <c r="C279" s="288"/>
      <c r="D279" s="288"/>
      <c r="E279" s="1242"/>
      <c r="F279" s="288"/>
      <c r="G279" s="288"/>
      <c r="H279" s="1015"/>
      <c r="I279" s="1015"/>
      <c r="J279" s="1015"/>
      <c r="K279" s="288"/>
      <c r="L279" s="302"/>
      <c r="M279" s="302"/>
      <c r="N279" s="302"/>
    </row>
    <row r="280" spans="1:14" x14ac:dyDescent="0.25">
      <c r="A280" s="302"/>
      <c r="B280" s="302"/>
      <c r="C280" s="288"/>
      <c r="D280" s="288"/>
      <c r="E280" s="1242"/>
      <c r="F280" s="288"/>
      <c r="G280" s="288"/>
      <c r="H280" s="1015"/>
      <c r="I280" s="1015"/>
      <c r="J280" s="1015"/>
      <c r="K280" s="288"/>
      <c r="L280" s="302"/>
      <c r="M280" s="302"/>
      <c r="N280" s="302"/>
    </row>
    <row r="281" spans="1:14" x14ac:dyDescent="0.25">
      <c r="A281" s="302"/>
      <c r="B281" s="302"/>
      <c r="C281" s="288"/>
      <c r="D281" s="288"/>
      <c r="E281" s="1242"/>
      <c r="F281" s="288"/>
      <c r="G281" s="288"/>
      <c r="H281" s="1015"/>
      <c r="I281" s="1015"/>
      <c r="J281" s="1015"/>
      <c r="K281" s="288"/>
      <c r="L281" s="302"/>
      <c r="M281" s="302"/>
      <c r="N281" s="302"/>
    </row>
    <row r="282" spans="1:14" x14ac:dyDescent="0.25">
      <c r="A282" s="302"/>
      <c r="B282" s="302"/>
      <c r="C282" s="288"/>
      <c r="D282" s="288"/>
      <c r="E282" s="1242"/>
      <c r="F282" s="288"/>
      <c r="G282" s="288"/>
      <c r="H282" s="1015"/>
      <c r="I282" s="1015"/>
      <c r="J282" s="1015"/>
      <c r="K282" s="288"/>
      <c r="L282" s="302"/>
      <c r="M282" s="302"/>
      <c r="N282" s="302"/>
    </row>
    <row r="283" spans="1:14" x14ac:dyDescent="0.25">
      <c r="A283" s="302"/>
      <c r="B283" s="302"/>
      <c r="C283" s="288"/>
      <c r="D283" s="288"/>
      <c r="E283" s="1242"/>
      <c r="F283" s="288"/>
      <c r="G283" s="288"/>
      <c r="H283" s="1015"/>
      <c r="I283" s="1015"/>
      <c r="J283" s="1015"/>
      <c r="K283" s="288"/>
      <c r="L283" s="302"/>
      <c r="M283" s="302"/>
      <c r="N283" s="302"/>
    </row>
    <row r="284" spans="1:14" x14ac:dyDescent="0.25">
      <c r="A284" s="302"/>
      <c r="B284" s="302"/>
      <c r="C284" s="288"/>
      <c r="D284" s="288"/>
      <c r="E284" s="1242"/>
      <c r="F284" s="288"/>
      <c r="G284" s="288"/>
      <c r="H284" s="1015"/>
      <c r="I284" s="1015"/>
      <c r="J284" s="1015"/>
      <c r="K284" s="288"/>
      <c r="L284" s="302"/>
      <c r="M284" s="302"/>
      <c r="N284" s="302"/>
    </row>
    <row r="285" spans="1:14" x14ac:dyDescent="0.25">
      <c r="A285" s="302"/>
      <c r="B285" s="302"/>
      <c r="C285" s="288"/>
      <c r="D285" s="288"/>
      <c r="E285" s="1242"/>
      <c r="F285" s="288"/>
      <c r="G285" s="288"/>
      <c r="H285" s="1015"/>
      <c r="I285" s="1015"/>
      <c r="J285" s="1015"/>
      <c r="K285" s="288"/>
      <c r="L285" s="302"/>
      <c r="M285" s="302"/>
      <c r="N285" s="302"/>
    </row>
    <row r="286" spans="1:14" x14ac:dyDescent="0.25">
      <c r="A286" s="302"/>
      <c r="B286" s="302"/>
      <c r="C286" s="288"/>
      <c r="D286" s="288"/>
      <c r="E286" s="1242"/>
      <c r="F286" s="288"/>
      <c r="G286" s="288"/>
      <c r="H286" s="1015"/>
      <c r="I286" s="1015"/>
      <c r="J286" s="1015"/>
      <c r="K286" s="288"/>
      <c r="L286" s="302"/>
      <c r="M286" s="302"/>
      <c r="N286" s="302"/>
    </row>
    <row r="287" spans="1:14" x14ac:dyDescent="0.25">
      <c r="A287" s="302"/>
      <c r="B287" s="302"/>
      <c r="C287" s="288"/>
      <c r="D287" s="288"/>
      <c r="E287" s="1242"/>
      <c r="F287" s="288"/>
      <c r="G287" s="288"/>
      <c r="H287" s="1015"/>
      <c r="I287" s="1015"/>
      <c r="J287" s="1015"/>
      <c r="K287" s="288"/>
      <c r="L287" s="302"/>
      <c r="M287" s="302"/>
      <c r="N287" s="302"/>
    </row>
    <row r="288" spans="1:14" x14ac:dyDescent="0.25">
      <c r="A288" s="302"/>
      <c r="B288" s="302"/>
      <c r="C288" s="288"/>
      <c r="D288" s="288"/>
      <c r="E288" s="1242"/>
      <c r="F288" s="288"/>
      <c r="G288" s="288"/>
      <c r="H288" s="1015"/>
      <c r="I288" s="1015"/>
      <c r="J288" s="1015"/>
      <c r="K288" s="288"/>
      <c r="L288" s="302"/>
      <c r="M288" s="302"/>
      <c r="N288" s="302"/>
    </row>
    <row r="289" spans="1:14" x14ac:dyDescent="0.25">
      <c r="A289" s="302"/>
      <c r="B289" s="302"/>
      <c r="C289" s="288"/>
      <c r="D289" s="288"/>
      <c r="E289" s="1242"/>
      <c r="F289" s="288"/>
      <c r="G289" s="288"/>
      <c r="H289" s="1015"/>
      <c r="I289" s="1015"/>
      <c r="J289" s="1015"/>
      <c r="K289" s="288"/>
      <c r="L289" s="302"/>
      <c r="M289" s="302"/>
      <c r="N289" s="302"/>
    </row>
    <row r="290" spans="1:14" x14ac:dyDescent="0.25">
      <c r="A290" s="302"/>
      <c r="B290" s="302"/>
      <c r="C290" s="288"/>
      <c r="D290" s="288"/>
      <c r="E290" s="1242"/>
      <c r="F290" s="288"/>
      <c r="G290" s="288"/>
      <c r="H290" s="1015"/>
      <c r="I290" s="1015"/>
      <c r="J290" s="1015"/>
      <c r="K290" s="288"/>
      <c r="L290" s="302"/>
      <c r="M290" s="302"/>
      <c r="N290" s="302"/>
    </row>
    <row r="291" spans="1:14" x14ac:dyDescent="0.25">
      <c r="A291" s="302"/>
      <c r="B291" s="302"/>
      <c r="C291" s="288"/>
      <c r="D291" s="288"/>
      <c r="E291" s="1242"/>
      <c r="F291" s="288"/>
      <c r="G291" s="288"/>
      <c r="H291" s="1015"/>
      <c r="I291" s="1015"/>
      <c r="J291" s="1015"/>
      <c r="K291" s="288"/>
      <c r="L291" s="302"/>
      <c r="M291" s="302"/>
      <c r="N291" s="302"/>
    </row>
    <row r="292" spans="1:14" x14ac:dyDescent="0.25">
      <c r="A292" s="302"/>
      <c r="B292" s="302"/>
      <c r="C292" s="288"/>
      <c r="D292" s="288"/>
      <c r="E292" s="1242"/>
      <c r="F292" s="288"/>
      <c r="G292" s="288"/>
      <c r="H292" s="1015"/>
      <c r="I292" s="1015"/>
      <c r="J292" s="1015"/>
      <c r="K292" s="288"/>
      <c r="L292" s="302"/>
      <c r="M292" s="302"/>
      <c r="N292" s="302"/>
    </row>
    <row r="293" spans="1:14" x14ac:dyDescent="0.25">
      <c r="A293" s="302"/>
      <c r="B293" s="302"/>
      <c r="C293" s="288"/>
      <c r="D293" s="288"/>
      <c r="E293" s="1242"/>
      <c r="F293" s="288"/>
      <c r="G293" s="288"/>
      <c r="H293" s="1015"/>
      <c r="I293" s="1015"/>
      <c r="J293" s="1015"/>
      <c r="K293" s="288"/>
      <c r="L293" s="302"/>
      <c r="M293" s="302"/>
      <c r="N293" s="302"/>
    </row>
    <row r="294" spans="1:14" x14ac:dyDescent="0.25">
      <c r="A294" s="302"/>
      <c r="B294" s="302"/>
      <c r="C294" s="288"/>
      <c r="D294" s="288"/>
      <c r="E294" s="1242"/>
      <c r="F294" s="288"/>
      <c r="G294" s="288"/>
      <c r="H294" s="1015"/>
      <c r="I294" s="1015"/>
      <c r="J294" s="1015"/>
      <c r="K294" s="288"/>
      <c r="L294" s="302"/>
      <c r="M294" s="302"/>
      <c r="N294" s="302"/>
    </row>
    <row r="295" spans="1:14" x14ac:dyDescent="0.25">
      <c r="A295" s="302"/>
      <c r="B295" s="302"/>
      <c r="C295" s="288"/>
      <c r="D295" s="288"/>
      <c r="E295" s="1242"/>
      <c r="F295" s="288"/>
      <c r="G295" s="288"/>
      <c r="H295" s="1015"/>
      <c r="I295" s="1015"/>
      <c r="J295" s="1015"/>
      <c r="K295" s="288"/>
      <c r="L295" s="302"/>
      <c r="M295" s="302"/>
      <c r="N295" s="302"/>
    </row>
    <row r="296" spans="1:14" x14ac:dyDescent="0.25">
      <c r="A296" s="302"/>
      <c r="B296" s="302"/>
      <c r="C296" s="288"/>
      <c r="D296" s="288"/>
      <c r="E296" s="1242"/>
      <c r="F296" s="288"/>
      <c r="G296" s="288"/>
      <c r="H296" s="1015"/>
      <c r="I296" s="1015"/>
      <c r="J296" s="1015"/>
      <c r="K296" s="288"/>
      <c r="L296" s="302"/>
      <c r="M296" s="302"/>
      <c r="N296" s="302"/>
    </row>
    <row r="297" spans="1:14" x14ac:dyDescent="0.25">
      <c r="A297" s="302"/>
      <c r="B297" s="302"/>
      <c r="C297" s="288"/>
      <c r="D297" s="288"/>
      <c r="E297" s="1242"/>
      <c r="F297" s="288"/>
      <c r="G297" s="288"/>
      <c r="H297" s="1015"/>
      <c r="I297" s="1015"/>
      <c r="J297" s="1015"/>
      <c r="K297" s="288"/>
      <c r="L297" s="302"/>
      <c r="M297" s="302"/>
      <c r="N297" s="302"/>
    </row>
    <row r="298" spans="1:14" x14ac:dyDescent="0.25">
      <c r="A298" s="302"/>
      <c r="B298" s="302"/>
      <c r="C298" s="288"/>
      <c r="D298" s="288"/>
      <c r="E298" s="1242"/>
      <c r="F298" s="288"/>
      <c r="G298" s="288"/>
      <c r="H298" s="1015"/>
      <c r="I298" s="1015"/>
      <c r="J298" s="1015"/>
      <c r="K298" s="288"/>
      <c r="L298" s="302"/>
      <c r="M298" s="302"/>
      <c r="N298" s="302"/>
    </row>
    <row r="299" spans="1:14" x14ac:dyDescent="0.25">
      <c r="A299" s="302"/>
      <c r="B299" s="302"/>
      <c r="C299" s="288"/>
      <c r="D299" s="288"/>
      <c r="E299" s="1242"/>
      <c r="F299" s="288"/>
      <c r="G299" s="288"/>
      <c r="H299" s="1015"/>
      <c r="I299" s="1015"/>
      <c r="J299" s="1015"/>
      <c r="K299" s="288"/>
      <c r="L299" s="302"/>
      <c r="M299" s="302"/>
      <c r="N299" s="302"/>
    </row>
    <row r="300" spans="1:14" x14ac:dyDescent="0.25">
      <c r="A300" s="302"/>
      <c r="B300" s="302"/>
      <c r="C300" s="288"/>
      <c r="D300" s="288"/>
      <c r="E300" s="1242"/>
      <c r="F300" s="288"/>
      <c r="G300" s="288"/>
      <c r="H300" s="1015"/>
      <c r="I300" s="1015"/>
      <c r="J300" s="1015"/>
      <c r="K300" s="288"/>
      <c r="L300" s="302"/>
      <c r="M300" s="302"/>
      <c r="N300" s="302"/>
    </row>
    <row r="301" spans="1:14" x14ac:dyDescent="0.25">
      <c r="A301" s="302"/>
      <c r="B301" s="302"/>
      <c r="C301" s="288"/>
      <c r="D301" s="288"/>
      <c r="E301" s="1242"/>
      <c r="F301" s="288"/>
      <c r="G301" s="288"/>
      <c r="H301" s="1015"/>
      <c r="I301" s="1015"/>
      <c r="J301" s="1015"/>
      <c r="K301" s="288"/>
      <c r="L301" s="302"/>
      <c r="M301" s="302"/>
      <c r="N301" s="302"/>
    </row>
    <row r="302" spans="1:14" x14ac:dyDescent="0.25">
      <c r="A302" s="302"/>
      <c r="B302" s="302"/>
      <c r="C302" s="288"/>
      <c r="D302" s="288"/>
      <c r="E302" s="1242"/>
      <c r="F302" s="288"/>
      <c r="G302" s="288"/>
      <c r="H302" s="1015"/>
      <c r="I302" s="1015"/>
      <c r="J302" s="1015"/>
      <c r="K302" s="288"/>
      <c r="L302" s="302"/>
      <c r="M302" s="302"/>
      <c r="N302" s="302"/>
    </row>
    <row r="303" spans="1:14" x14ac:dyDescent="0.25">
      <c r="A303" s="302"/>
      <c r="B303" s="302"/>
      <c r="C303" s="288"/>
      <c r="D303" s="288"/>
      <c r="E303" s="1242"/>
      <c r="F303" s="288"/>
      <c r="G303" s="288"/>
      <c r="H303" s="1015"/>
      <c r="I303" s="1015"/>
      <c r="J303" s="1015"/>
      <c r="K303" s="288"/>
      <c r="L303" s="302"/>
      <c r="M303" s="302"/>
      <c r="N303" s="302"/>
    </row>
    <row r="304" spans="1:14" x14ac:dyDescent="0.25">
      <c r="A304" s="302"/>
      <c r="B304" s="302"/>
      <c r="C304" s="288"/>
      <c r="D304" s="288"/>
      <c r="E304" s="1242"/>
      <c r="F304" s="288"/>
      <c r="G304" s="288"/>
      <c r="H304" s="1015"/>
      <c r="I304" s="1015"/>
      <c r="J304" s="1015"/>
      <c r="K304" s="288"/>
      <c r="L304" s="302"/>
      <c r="M304" s="302"/>
      <c r="N304" s="302"/>
    </row>
    <row r="305" spans="1:14" x14ac:dyDescent="0.25">
      <c r="A305" s="302"/>
      <c r="B305" s="302"/>
      <c r="C305" s="288"/>
      <c r="D305" s="288"/>
      <c r="E305" s="1242"/>
      <c r="F305" s="288"/>
      <c r="G305" s="288"/>
      <c r="H305" s="1015"/>
      <c r="I305" s="1015"/>
      <c r="J305" s="1015"/>
      <c r="K305" s="288"/>
      <c r="L305" s="302"/>
      <c r="M305" s="302"/>
      <c r="N305" s="302"/>
    </row>
    <row r="306" spans="1:14" x14ac:dyDescent="0.25">
      <c r="A306" s="302"/>
      <c r="B306" s="302"/>
      <c r="C306" s="288"/>
      <c r="D306" s="288"/>
      <c r="E306" s="1242"/>
      <c r="F306" s="288"/>
      <c r="G306" s="288"/>
      <c r="H306" s="1015"/>
      <c r="I306" s="1015"/>
      <c r="J306" s="1015"/>
      <c r="K306" s="288"/>
      <c r="L306" s="302"/>
      <c r="M306" s="302"/>
      <c r="N306" s="302"/>
    </row>
    <row r="307" spans="1:14" x14ac:dyDescent="0.25">
      <c r="A307" s="302"/>
      <c r="B307" s="302"/>
      <c r="C307" s="288"/>
      <c r="D307" s="288"/>
      <c r="E307" s="1242"/>
      <c r="F307" s="288"/>
      <c r="G307" s="288"/>
      <c r="H307" s="1015"/>
      <c r="I307" s="1015"/>
      <c r="J307" s="1015"/>
      <c r="K307" s="288"/>
      <c r="L307" s="302"/>
      <c r="M307" s="302"/>
      <c r="N307" s="302"/>
    </row>
    <row r="308" spans="1:14" x14ac:dyDescent="0.25">
      <c r="A308" s="302"/>
      <c r="B308" s="302"/>
      <c r="C308" s="288"/>
      <c r="D308" s="288"/>
      <c r="E308" s="1242"/>
      <c r="F308" s="288"/>
      <c r="G308" s="288"/>
      <c r="H308" s="1015"/>
      <c r="I308" s="1015"/>
      <c r="J308" s="1015"/>
      <c r="K308" s="288"/>
      <c r="L308" s="302"/>
      <c r="M308" s="302"/>
      <c r="N308" s="302"/>
    </row>
    <row r="309" spans="1:14" x14ac:dyDescent="0.25">
      <c r="A309" s="302"/>
      <c r="B309" s="302"/>
      <c r="C309" s="288"/>
      <c r="D309" s="288"/>
      <c r="E309" s="1242"/>
      <c r="F309" s="288"/>
      <c r="G309" s="288"/>
      <c r="H309" s="1015"/>
      <c r="I309" s="1015"/>
      <c r="J309" s="1015"/>
      <c r="K309" s="288"/>
      <c r="L309" s="302"/>
      <c r="M309" s="302"/>
      <c r="N309" s="302"/>
    </row>
    <row r="310" spans="1:14" x14ac:dyDescent="0.25">
      <c r="A310" s="302"/>
      <c r="B310" s="302"/>
      <c r="C310" s="288"/>
      <c r="D310" s="288"/>
      <c r="E310" s="1242"/>
      <c r="F310" s="288"/>
      <c r="G310" s="288"/>
      <c r="H310" s="1015"/>
      <c r="I310" s="1015"/>
      <c r="J310" s="1015"/>
      <c r="K310" s="288"/>
      <c r="L310" s="302"/>
      <c r="M310" s="302"/>
      <c r="N310" s="302"/>
    </row>
    <row r="311" spans="1:14" x14ac:dyDescent="0.25">
      <c r="A311" s="302"/>
      <c r="B311" s="302"/>
      <c r="C311" s="288"/>
      <c r="D311" s="288"/>
      <c r="E311" s="1242"/>
      <c r="F311" s="288"/>
      <c r="G311" s="288"/>
      <c r="H311" s="1015"/>
      <c r="I311" s="1015"/>
      <c r="J311" s="1015"/>
      <c r="K311" s="288"/>
      <c r="L311" s="302"/>
      <c r="M311" s="302"/>
      <c r="N311" s="302"/>
    </row>
    <row r="312" spans="1:14" x14ac:dyDescent="0.25">
      <c r="A312" s="302"/>
      <c r="B312" s="302"/>
      <c r="C312" s="288"/>
      <c r="D312" s="288"/>
      <c r="E312" s="1242"/>
      <c r="F312" s="288"/>
      <c r="G312" s="288"/>
      <c r="H312" s="1015"/>
      <c r="I312" s="1015"/>
      <c r="J312" s="1015"/>
      <c r="K312" s="288"/>
      <c r="L312" s="302"/>
      <c r="M312" s="302"/>
      <c r="N312" s="302"/>
    </row>
    <row r="313" spans="1:14" x14ac:dyDescent="0.25">
      <c r="A313" s="302"/>
      <c r="B313" s="302"/>
      <c r="C313" s="288"/>
      <c r="D313" s="288"/>
      <c r="E313" s="1242"/>
      <c r="F313" s="288"/>
      <c r="G313" s="288"/>
      <c r="H313" s="1015"/>
      <c r="I313" s="1015"/>
      <c r="J313" s="1015"/>
      <c r="K313" s="288"/>
      <c r="L313" s="302"/>
      <c r="M313" s="302"/>
      <c r="N313" s="302"/>
    </row>
    <row r="314" spans="1:14" x14ac:dyDescent="0.25">
      <c r="A314" s="302"/>
      <c r="B314" s="302"/>
      <c r="C314" s="288"/>
      <c r="D314" s="288"/>
      <c r="E314" s="1242"/>
      <c r="F314" s="288"/>
      <c r="G314" s="288"/>
      <c r="H314" s="1015"/>
      <c r="I314" s="1015"/>
      <c r="J314" s="1015"/>
      <c r="K314" s="288"/>
      <c r="L314" s="302"/>
      <c r="M314" s="302"/>
      <c r="N314" s="302"/>
    </row>
    <row r="315" spans="1:14" x14ac:dyDescent="0.25">
      <c r="A315" s="302"/>
      <c r="B315" s="302"/>
      <c r="C315" s="288"/>
      <c r="D315" s="288"/>
      <c r="E315" s="1242"/>
      <c r="F315" s="288"/>
      <c r="G315" s="288"/>
      <c r="H315" s="1015"/>
      <c r="I315" s="1015"/>
      <c r="J315" s="1015"/>
      <c r="K315" s="288"/>
      <c r="L315" s="302"/>
      <c r="M315" s="302"/>
      <c r="N315" s="302"/>
    </row>
    <row r="316" spans="1:14" x14ac:dyDescent="0.25">
      <c r="A316" s="302"/>
      <c r="B316" s="302"/>
      <c r="C316" s="288"/>
      <c r="D316" s="288"/>
      <c r="E316" s="1242"/>
      <c r="F316" s="288"/>
      <c r="G316" s="288"/>
      <c r="H316" s="1015"/>
      <c r="I316" s="1015"/>
      <c r="J316" s="1015"/>
      <c r="K316" s="288"/>
      <c r="L316" s="302"/>
      <c r="M316" s="302"/>
      <c r="N316" s="302"/>
    </row>
    <row r="317" spans="1:14" x14ac:dyDescent="0.25">
      <c r="A317" s="302"/>
      <c r="B317" s="302"/>
      <c r="C317" s="288"/>
      <c r="D317" s="288"/>
      <c r="E317" s="1242"/>
      <c r="F317" s="288"/>
      <c r="G317" s="288"/>
      <c r="H317" s="1015"/>
      <c r="I317" s="1015"/>
      <c r="J317" s="1015"/>
      <c r="K317" s="288"/>
      <c r="L317" s="302"/>
      <c r="M317" s="302"/>
      <c r="N317" s="302"/>
    </row>
    <row r="318" spans="1:14" x14ac:dyDescent="0.25">
      <c r="A318" s="302"/>
      <c r="B318" s="302"/>
      <c r="C318" s="288"/>
      <c r="D318" s="288"/>
      <c r="E318" s="1242"/>
      <c r="F318" s="288"/>
      <c r="G318" s="288"/>
      <c r="H318" s="1015"/>
      <c r="I318" s="1015"/>
      <c r="J318" s="1015"/>
      <c r="K318" s="288"/>
      <c r="L318" s="302"/>
      <c r="M318" s="302"/>
      <c r="N318" s="302"/>
    </row>
    <row r="319" spans="1:14" x14ac:dyDescent="0.25">
      <c r="A319" s="302"/>
      <c r="B319" s="302"/>
      <c r="C319" s="288"/>
      <c r="D319" s="288"/>
      <c r="E319" s="1242"/>
      <c r="F319" s="288"/>
      <c r="G319" s="288"/>
      <c r="H319" s="1015"/>
      <c r="I319" s="1015"/>
      <c r="J319" s="1015"/>
      <c r="K319" s="288"/>
      <c r="L319" s="302"/>
      <c r="M319" s="302"/>
      <c r="N319" s="302"/>
    </row>
    <row r="320" spans="1:14" x14ac:dyDescent="0.25">
      <c r="A320" s="302"/>
      <c r="B320" s="302"/>
      <c r="C320" s="288"/>
      <c r="D320" s="288"/>
      <c r="E320" s="1242"/>
      <c r="F320" s="288"/>
      <c r="G320" s="288"/>
      <c r="H320" s="1015"/>
      <c r="I320" s="1015"/>
      <c r="J320" s="1015"/>
      <c r="K320" s="288"/>
      <c r="L320" s="302"/>
      <c r="M320" s="302"/>
      <c r="N320" s="302"/>
    </row>
    <row r="321" spans="1:14" x14ac:dyDescent="0.25">
      <c r="A321" s="302"/>
      <c r="B321" s="302"/>
      <c r="C321" s="288"/>
      <c r="D321" s="288"/>
      <c r="E321" s="1242"/>
      <c r="F321" s="288"/>
      <c r="G321" s="288"/>
      <c r="H321" s="1015"/>
      <c r="I321" s="1015"/>
      <c r="J321" s="1015"/>
      <c r="K321" s="288"/>
      <c r="L321" s="302"/>
      <c r="M321" s="302"/>
      <c r="N321" s="302"/>
    </row>
    <row r="322" spans="1:14" x14ac:dyDescent="0.25">
      <c r="A322" s="302"/>
      <c r="B322" s="302"/>
      <c r="C322" s="288"/>
      <c r="D322" s="288"/>
      <c r="E322" s="1242"/>
      <c r="F322" s="288"/>
      <c r="G322" s="288"/>
      <c r="H322" s="1015"/>
      <c r="I322" s="1015"/>
      <c r="J322" s="1015"/>
      <c r="K322" s="288"/>
      <c r="L322" s="302"/>
      <c r="M322" s="302"/>
      <c r="N322" s="302"/>
    </row>
    <row r="323" spans="1:14" x14ac:dyDescent="0.25">
      <c r="A323" s="302"/>
      <c r="B323" s="302"/>
      <c r="C323" s="288"/>
      <c r="D323" s="288"/>
      <c r="E323" s="1242"/>
      <c r="F323" s="288"/>
      <c r="G323" s="288"/>
      <c r="H323" s="1015"/>
      <c r="I323" s="1015"/>
      <c r="J323" s="1015"/>
      <c r="K323" s="288"/>
      <c r="L323" s="302"/>
      <c r="M323" s="302"/>
      <c r="N323" s="302"/>
    </row>
    <row r="324" spans="1:14" x14ac:dyDescent="0.25">
      <c r="A324" s="302"/>
      <c r="B324" s="302"/>
      <c r="C324" s="288"/>
      <c r="D324" s="288"/>
      <c r="E324" s="1242"/>
      <c r="F324" s="288"/>
      <c r="G324" s="288"/>
      <c r="H324" s="1015"/>
      <c r="I324" s="1015"/>
      <c r="J324" s="1015"/>
      <c r="K324" s="288"/>
      <c r="L324" s="302"/>
      <c r="M324" s="302"/>
      <c r="N324" s="302"/>
    </row>
    <row r="325" spans="1:14" x14ac:dyDescent="0.25">
      <c r="A325" s="302"/>
      <c r="B325" s="302"/>
      <c r="C325" s="288"/>
      <c r="D325" s="288"/>
      <c r="E325" s="1242"/>
      <c r="F325" s="288"/>
      <c r="G325" s="288"/>
      <c r="H325" s="1015"/>
      <c r="I325" s="1015"/>
      <c r="J325" s="1015"/>
      <c r="K325" s="288"/>
      <c r="L325" s="302"/>
      <c r="M325" s="302"/>
      <c r="N325" s="302"/>
    </row>
    <row r="326" spans="1:14" x14ac:dyDescent="0.25">
      <c r="A326" s="302"/>
      <c r="B326" s="302"/>
      <c r="C326" s="288"/>
      <c r="D326" s="288"/>
      <c r="E326" s="1242"/>
      <c r="F326" s="288"/>
      <c r="G326" s="288"/>
      <c r="H326" s="1015"/>
      <c r="I326" s="1015"/>
      <c r="J326" s="1015"/>
      <c r="K326" s="288"/>
      <c r="L326" s="302"/>
      <c r="M326" s="302"/>
      <c r="N326" s="302"/>
    </row>
    <row r="327" spans="1:14" x14ac:dyDescent="0.25">
      <c r="A327" s="302"/>
      <c r="B327" s="302"/>
      <c r="C327" s="288"/>
      <c r="D327" s="288"/>
      <c r="E327" s="1242"/>
      <c r="F327" s="288"/>
      <c r="G327" s="288"/>
      <c r="H327" s="1015"/>
      <c r="I327" s="1015"/>
      <c r="J327" s="1015"/>
      <c r="K327" s="288"/>
      <c r="L327" s="302"/>
      <c r="M327" s="302"/>
      <c r="N327" s="302"/>
    </row>
    <row r="328" spans="1:14" x14ac:dyDescent="0.25">
      <c r="A328" s="302"/>
      <c r="B328" s="302"/>
      <c r="C328" s="288"/>
      <c r="D328" s="288"/>
      <c r="E328" s="1242"/>
      <c r="F328" s="288"/>
      <c r="G328" s="288"/>
      <c r="H328" s="1015"/>
      <c r="I328" s="1015"/>
      <c r="J328" s="1015"/>
      <c r="K328" s="288"/>
      <c r="L328" s="302"/>
      <c r="M328" s="302"/>
      <c r="N328" s="302"/>
    </row>
    <row r="329" spans="1:14" x14ac:dyDescent="0.25">
      <c r="A329" s="302"/>
      <c r="B329" s="302"/>
      <c r="C329" s="288"/>
      <c r="D329" s="288"/>
      <c r="E329" s="1242"/>
      <c r="F329" s="288"/>
      <c r="G329" s="288"/>
      <c r="H329" s="1015"/>
      <c r="I329" s="1015"/>
      <c r="J329" s="1015"/>
      <c r="K329" s="288"/>
      <c r="L329" s="302"/>
      <c r="M329" s="302"/>
      <c r="N329" s="302"/>
    </row>
    <row r="330" spans="1:14" x14ac:dyDescent="0.25">
      <c r="A330" s="302"/>
      <c r="B330" s="302"/>
      <c r="C330" s="288"/>
      <c r="D330" s="288"/>
      <c r="E330" s="1242"/>
      <c r="F330" s="288"/>
      <c r="G330" s="288"/>
      <c r="H330" s="1015"/>
      <c r="I330" s="1015"/>
      <c r="J330" s="1015"/>
      <c r="K330" s="288"/>
      <c r="L330" s="302"/>
      <c r="M330" s="302"/>
      <c r="N330" s="302"/>
    </row>
    <row r="331" spans="1:14" x14ac:dyDescent="0.25">
      <c r="A331" s="302"/>
      <c r="B331" s="302"/>
      <c r="C331" s="288"/>
      <c r="D331" s="288"/>
      <c r="E331" s="1242"/>
      <c r="F331" s="288"/>
      <c r="G331" s="288"/>
      <c r="H331" s="1015"/>
      <c r="I331" s="1015"/>
      <c r="J331" s="1015"/>
      <c r="K331" s="288"/>
      <c r="L331" s="302"/>
      <c r="M331" s="302"/>
      <c r="N331" s="302"/>
    </row>
    <row r="332" spans="1:14" x14ac:dyDescent="0.25">
      <c r="A332" s="302"/>
      <c r="B332" s="302"/>
      <c r="C332" s="288"/>
      <c r="D332" s="288"/>
      <c r="E332" s="1242"/>
      <c r="F332" s="288"/>
      <c r="G332" s="288"/>
      <c r="H332" s="1015"/>
      <c r="I332" s="1015"/>
      <c r="J332" s="1015"/>
      <c r="K332" s="288"/>
      <c r="L332" s="302"/>
      <c r="M332" s="302"/>
      <c r="N332" s="302"/>
    </row>
    <row r="333" spans="1:14" x14ac:dyDescent="0.25">
      <c r="A333" s="302"/>
      <c r="B333" s="302"/>
      <c r="C333" s="288"/>
      <c r="D333" s="288"/>
      <c r="E333" s="1242"/>
      <c r="F333" s="288"/>
      <c r="G333" s="288"/>
      <c r="H333" s="1015"/>
      <c r="I333" s="1015"/>
      <c r="J333" s="1015"/>
      <c r="K333" s="288"/>
      <c r="L333" s="302"/>
      <c r="M333" s="302"/>
      <c r="N333" s="302"/>
    </row>
    <row r="334" spans="1:14" x14ac:dyDescent="0.25">
      <c r="A334" s="302"/>
      <c r="B334" s="302"/>
      <c r="C334" s="288"/>
      <c r="D334" s="288"/>
      <c r="E334" s="1242"/>
      <c r="F334" s="288"/>
      <c r="G334" s="288"/>
      <c r="H334" s="1015"/>
      <c r="I334" s="1015"/>
      <c r="J334" s="1015"/>
      <c r="K334" s="288"/>
      <c r="L334" s="302"/>
      <c r="M334" s="302"/>
      <c r="N334" s="302"/>
    </row>
    <row r="335" spans="1:14" x14ac:dyDescent="0.25">
      <c r="A335" s="302"/>
      <c r="B335" s="302"/>
      <c r="C335" s="288"/>
      <c r="D335" s="288"/>
      <c r="E335" s="1242"/>
      <c r="F335" s="288"/>
      <c r="G335" s="288"/>
      <c r="H335" s="1015"/>
      <c r="I335" s="1015"/>
      <c r="J335" s="1015"/>
      <c r="K335" s="288"/>
      <c r="L335" s="302"/>
      <c r="M335" s="302"/>
      <c r="N335" s="302"/>
    </row>
    <row r="336" spans="1:14" x14ac:dyDescent="0.25">
      <c r="A336" s="302"/>
      <c r="B336" s="302"/>
      <c r="C336" s="288"/>
      <c r="D336" s="288"/>
      <c r="E336" s="1242"/>
      <c r="F336" s="288"/>
      <c r="G336" s="288"/>
      <c r="H336" s="1015"/>
      <c r="I336" s="1015"/>
      <c r="J336" s="1015"/>
      <c r="K336" s="288"/>
      <c r="L336" s="302"/>
      <c r="M336" s="302"/>
      <c r="N336" s="302"/>
    </row>
    <row r="337" spans="1:14" x14ac:dyDescent="0.25">
      <c r="A337" s="302"/>
      <c r="B337" s="302"/>
      <c r="C337" s="288"/>
      <c r="D337" s="288"/>
      <c r="E337" s="1242"/>
      <c r="F337" s="288"/>
      <c r="G337" s="288"/>
      <c r="H337" s="1015"/>
      <c r="I337" s="1015"/>
      <c r="J337" s="1015"/>
      <c r="K337" s="288"/>
      <c r="L337" s="302"/>
      <c r="M337" s="302"/>
      <c r="N337" s="302"/>
    </row>
    <row r="338" spans="1:14" x14ac:dyDescent="0.25">
      <c r="A338" s="302"/>
      <c r="B338" s="302"/>
      <c r="C338" s="288"/>
      <c r="D338" s="288"/>
      <c r="E338" s="1242"/>
      <c r="F338" s="288"/>
      <c r="G338" s="288"/>
      <c r="H338" s="1015"/>
      <c r="I338" s="1015"/>
      <c r="J338" s="1015"/>
      <c r="K338" s="288"/>
      <c r="L338" s="302"/>
      <c r="M338" s="302"/>
      <c r="N338" s="302"/>
    </row>
    <row r="339" spans="1:14" x14ac:dyDescent="0.25">
      <c r="A339" s="302"/>
      <c r="B339" s="302"/>
      <c r="C339" s="288"/>
      <c r="D339" s="288"/>
      <c r="E339" s="1242"/>
      <c r="F339" s="288"/>
      <c r="G339" s="288"/>
      <c r="H339" s="1015"/>
      <c r="I339" s="1015"/>
      <c r="J339" s="1015"/>
      <c r="K339" s="288"/>
      <c r="L339" s="302"/>
      <c r="M339" s="302"/>
      <c r="N339" s="302"/>
    </row>
    <row r="340" spans="1:14" x14ac:dyDescent="0.25">
      <c r="A340" s="302"/>
      <c r="B340" s="302"/>
      <c r="C340" s="288"/>
      <c r="D340" s="288"/>
      <c r="E340" s="1242"/>
      <c r="F340" s="288"/>
      <c r="G340" s="288"/>
      <c r="H340" s="1015"/>
      <c r="I340" s="1015"/>
      <c r="J340" s="1015"/>
      <c r="K340" s="288"/>
      <c r="L340" s="302"/>
      <c r="M340" s="302"/>
      <c r="N340" s="302"/>
    </row>
    <row r="341" spans="1:14" x14ac:dyDescent="0.25">
      <c r="A341" s="302"/>
      <c r="B341" s="302"/>
      <c r="C341" s="288"/>
      <c r="D341" s="288"/>
      <c r="E341" s="1242"/>
      <c r="F341" s="288"/>
      <c r="G341" s="288"/>
      <c r="H341" s="1015"/>
      <c r="I341" s="1015"/>
      <c r="J341" s="1015"/>
      <c r="K341" s="288"/>
      <c r="L341" s="302"/>
      <c r="M341" s="302"/>
      <c r="N341" s="302"/>
    </row>
    <row r="342" spans="1:14" x14ac:dyDescent="0.25">
      <c r="A342" s="302"/>
      <c r="B342" s="302"/>
      <c r="C342" s="288"/>
      <c r="D342" s="288"/>
      <c r="E342" s="1242"/>
      <c r="F342" s="288"/>
      <c r="G342" s="288"/>
      <c r="H342" s="1015"/>
      <c r="I342" s="1015"/>
      <c r="J342" s="1015"/>
      <c r="K342" s="288"/>
      <c r="L342" s="302"/>
      <c r="M342" s="302"/>
      <c r="N342" s="302"/>
    </row>
    <row r="343" spans="1:14" x14ac:dyDescent="0.25">
      <c r="A343" s="302"/>
      <c r="B343" s="302"/>
      <c r="C343" s="288"/>
      <c r="D343" s="288"/>
      <c r="E343" s="1242"/>
      <c r="F343" s="288"/>
      <c r="G343" s="288"/>
      <c r="H343" s="1015"/>
      <c r="I343" s="1015"/>
      <c r="J343" s="1015"/>
      <c r="K343" s="288"/>
      <c r="L343" s="302"/>
      <c r="M343" s="302"/>
      <c r="N343" s="302"/>
    </row>
    <row r="344" spans="1:14" x14ac:dyDescent="0.25">
      <c r="A344" s="302"/>
      <c r="B344" s="302"/>
      <c r="C344" s="288"/>
      <c r="D344" s="288"/>
      <c r="E344" s="1242"/>
      <c r="F344" s="288"/>
      <c r="G344" s="288"/>
      <c r="H344" s="1015"/>
      <c r="I344" s="1015"/>
      <c r="J344" s="1015"/>
      <c r="K344" s="288"/>
      <c r="L344" s="302"/>
      <c r="M344" s="302"/>
      <c r="N344" s="302"/>
    </row>
    <row r="345" spans="1:14" x14ac:dyDescent="0.25">
      <c r="A345" s="302"/>
      <c r="B345" s="302"/>
      <c r="C345" s="288"/>
      <c r="D345" s="288"/>
      <c r="E345" s="1242"/>
      <c r="F345" s="288"/>
      <c r="G345" s="288"/>
      <c r="H345" s="1015"/>
      <c r="I345" s="1015"/>
      <c r="J345" s="1015"/>
      <c r="K345" s="288"/>
      <c r="L345" s="302"/>
      <c r="M345" s="302"/>
      <c r="N345" s="302"/>
    </row>
    <row r="346" spans="1:14" x14ac:dyDescent="0.25">
      <c r="A346" s="302"/>
      <c r="B346" s="302"/>
      <c r="C346" s="288"/>
      <c r="D346" s="288"/>
      <c r="E346" s="1242"/>
      <c r="F346" s="288"/>
      <c r="G346" s="288"/>
      <c r="H346" s="1015"/>
      <c r="I346" s="1015"/>
      <c r="J346" s="1015"/>
      <c r="K346" s="288"/>
      <c r="L346" s="302"/>
      <c r="M346" s="302"/>
      <c r="N346" s="302"/>
    </row>
    <row r="347" spans="1:14" x14ac:dyDescent="0.25">
      <c r="A347" s="302"/>
      <c r="B347" s="302"/>
      <c r="C347" s="288"/>
      <c r="D347" s="288"/>
      <c r="E347" s="1242"/>
      <c r="F347" s="288"/>
      <c r="G347" s="288"/>
      <c r="H347" s="1015"/>
      <c r="I347" s="1015"/>
      <c r="J347" s="1015"/>
      <c r="K347" s="288"/>
      <c r="L347" s="302"/>
      <c r="M347" s="302"/>
      <c r="N347" s="302"/>
    </row>
    <row r="348" spans="1:14" x14ac:dyDescent="0.25">
      <c r="A348" s="302"/>
      <c r="B348" s="302"/>
      <c r="C348" s="288"/>
      <c r="D348" s="288"/>
      <c r="E348" s="1242"/>
      <c r="F348" s="288"/>
      <c r="G348" s="288"/>
      <c r="H348" s="1015"/>
      <c r="I348" s="1015"/>
      <c r="J348" s="1015"/>
      <c r="K348" s="288"/>
      <c r="L348" s="302"/>
      <c r="M348" s="302"/>
      <c r="N348" s="302"/>
    </row>
    <row r="349" spans="1:14" x14ac:dyDescent="0.25">
      <c r="A349" s="302"/>
      <c r="B349" s="302"/>
      <c r="C349" s="288"/>
      <c r="D349" s="288"/>
      <c r="E349" s="1242"/>
      <c r="F349" s="288"/>
      <c r="G349" s="288"/>
      <c r="H349" s="1015"/>
      <c r="I349" s="1015"/>
      <c r="J349" s="1015"/>
      <c r="K349" s="288"/>
      <c r="L349" s="302"/>
      <c r="M349" s="302"/>
      <c r="N349" s="302"/>
    </row>
    <row r="350" spans="1:14" x14ac:dyDescent="0.25">
      <c r="A350" s="302"/>
      <c r="B350" s="302"/>
      <c r="C350" s="288"/>
      <c r="D350" s="288"/>
      <c r="E350" s="1242"/>
      <c r="F350" s="288"/>
      <c r="G350" s="288"/>
      <c r="H350" s="1015"/>
      <c r="I350" s="1015"/>
      <c r="J350" s="1015"/>
      <c r="K350" s="288"/>
      <c r="L350" s="302"/>
      <c r="M350" s="302"/>
      <c r="N350" s="302"/>
    </row>
    <row r="351" spans="1:14" x14ac:dyDescent="0.25">
      <c r="A351" s="302"/>
      <c r="B351" s="302"/>
      <c r="C351" s="288"/>
      <c r="D351" s="288"/>
      <c r="E351" s="1242"/>
      <c r="F351" s="288"/>
      <c r="G351" s="288"/>
      <c r="H351" s="1015"/>
      <c r="I351" s="1015"/>
      <c r="J351" s="1015"/>
      <c r="K351" s="288"/>
      <c r="L351" s="302"/>
      <c r="M351" s="302"/>
      <c r="N351" s="302"/>
    </row>
    <row r="352" spans="1:14" x14ac:dyDescent="0.25">
      <c r="A352" s="302"/>
      <c r="B352" s="302"/>
      <c r="C352" s="288"/>
      <c r="D352" s="288"/>
      <c r="E352" s="1242"/>
      <c r="F352" s="288"/>
      <c r="G352" s="288"/>
      <c r="H352" s="1015"/>
      <c r="I352" s="1015"/>
      <c r="J352" s="1015"/>
      <c r="K352" s="288"/>
      <c r="L352" s="302"/>
      <c r="M352" s="302"/>
      <c r="N352" s="302"/>
    </row>
    <row r="353" spans="1:14" x14ac:dyDescent="0.25">
      <c r="A353" s="302"/>
      <c r="B353" s="302"/>
      <c r="C353" s="288"/>
      <c r="D353" s="288"/>
      <c r="E353" s="1242"/>
      <c r="F353" s="288"/>
      <c r="G353" s="288"/>
      <c r="H353" s="1015"/>
      <c r="I353" s="1015"/>
      <c r="J353" s="1015"/>
      <c r="K353" s="288"/>
      <c r="L353" s="302"/>
      <c r="M353" s="302"/>
      <c r="N353" s="302"/>
    </row>
    <row r="354" spans="1:14" x14ac:dyDescent="0.25">
      <c r="A354" s="302"/>
      <c r="B354" s="302"/>
      <c r="C354" s="288"/>
      <c r="D354" s="288"/>
      <c r="E354" s="1242"/>
      <c r="F354" s="288"/>
      <c r="G354" s="288"/>
      <c r="H354" s="1015"/>
      <c r="I354" s="1015"/>
      <c r="J354" s="1015"/>
      <c r="K354" s="288"/>
      <c r="L354" s="302"/>
      <c r="M354" s="302"/>
      <c r="N354" s="302"/>
    </row>
    <row r="355" spans="1:14" x14ac:dyDescent="0.25">
      <c r="A355" s="302"/>
      <c r="B355" s="302"/>
      <c r="C355" s="288"/>
      <c r="D355" s="288"/>
      <c r="E355" s="1242"/>
      <c r="F355" s="288"/>
      <c r="G355" s="288"/>
      <c r="H355" s="1015"/>
      <c r="I355" s="1015"/>
      <c r="J355" s="1015"/>
      <c r="K355" s="288"/>
      <c r="L355" s="302"/>
      <c r="M355" s="302"/>
      <c r="N355" s="302"/>
    </row>
    <row r="356" spans="1:14" x14ac:dyDescent="0.25">
      <c r="A356" s="302"/>
      <c r="B356" s="302"/>
      <c r="C356" s="288"/>
      <c r="D356" s="288"/>
      <c r="E356" s="1242"/>
      <c r="F356" s="288"/>
      <c r="G356" s="288"/>
      <c r="H356" s="1015"/>
      <c r="I356" s="1015"/>
      <c r="J356" s="1015"/>
      <c r="K356" s="288"/>
      <c r="L356" s="302"/>
      <c r="M356" s="302"/>
      <c r="N356" s="302"/>
    </row>
    <row r="357" spans="1:14" x14ac:dyDescent="0.25">
      <c r="A357" s="302"/>
      <c r="B357" s="302"/>
      <c r="C357" s="288"/>
      <c r="D357" s="288"/>
      <c r="E357" s="1242"/>
      <c r="F357" s="288"/>
      <c r="G357" s="288"/>
      <c r="H357" s="1015"/>
      <c r="I357" s="1015"/>
      <c r="J357" s="1015"/>
      <c r="K357" s="288"/>
      <c r="L357" s="302"/>
      <c r="M357" s="302"/>
      <c r="N357" s="302"/>
    </row>
    <row r="358" spans="1:14" x14ac:dyDescent="0.25">
      <c r="A358" s="302"/>
      <c r="B358" s="302"/>
      <c r="C358" s="288"/>
      <c r="D358" s="288"/>
      <c r="E358" s="1242"/>
      <c r="F358" s="288"/>
      <c r="G358" s="288"/>
      <c r="H358" s="1015"/>
      <c r="I358" s="1015"/>
      <c r="J358" s="1015"/>
      <c r="K358" s="288"/>
      <c r="L358" s="302"/>
      <c r="M358" s="302"/>
      <c r="N358" s="302"/>
    </row>
    <row r="359" spans="1:14" x14ac:dyDescent="0.25">
      <c r="A359" s="302"/>
      <c r="B359" s="302"/>
      <c r="C359" s="288"/>
      <c r="D359" s="288"/>
      <c r="E359" s="1242"/>
      <c r="F359" s="288"/>
      <c r="G359" s="288"/>
      <c r="H359" s="1015"/>
      <c r="I359" s="1015"/>
      <c r="J359" s="1015"/>
      <c r="K359" s="288"/>
      <c r="L359" s="302"/>
      <c r="M359" s="302"/>
      <c r="N359" s="302"/>
    </row>
    <row r="360" spans="1:14" x14ac:dyDescent="0.25">
      <c r="A360" s="302"/>
      <c r="B360" s="302"/>
      <c r="C360" s="288"/>
      <c r="D360" s="288"/>
      <c r="E360" s="1242"/>
      <c r="F360" s="288"/>
      <c r="G360" s="288"/>
      <c r="H360" s="1015"/>
      <c r="I360" s="1015"/>
      <c r="J360" s="1015"/>
      <c r="K360" s="288"/>
      <c r="L360" s="302"/>
      <c r="M360" s="302"/>
      <c r="N360" s="302"/>
    </row>
    <row r="361" spans="1:14" x14ac:dyDescent="0.25">
      <c r="A361" s="302"/>
      <c r="B361" s="302"/>
      <c r="C361" s="288"/>
      <c r="D361" s="288"/>
      <c r="E361" s="1242"/>
      <c r="F361" s="288"/>
      <c r="G361" s="288"/>
      <c r="H361" s="1015"/>
      <c r="I361" s="1015"/>
      <c r="J361" s="1015"/>
      <c r="K361" s="288"/>
      <c r="L361" s="302"/>
      <c r="M361" s="302"/>
      <c r="N361" s="302"/>
    </row>
    <row r="362" spans="1:14" x14ac:dyDescent="0.25">
      <c r="A362" s="302"/>
      <c r="B362" s="302"/>
      <c r="C362" s="288"/>
      <c r="D362" s="288"/>
      <c r="E362" s="1242"/>
      <c r="F362" s="288"/>
      <c r="G362" s="288"/>
      <c r="H362" s="1015"/>
      <c r="I362" s="1015"/>
      <c r="J362" s="1015"/>
      <c r="K362" s="288"/>
      <c r="L362" s="302"/>
      <c r="M362" s="302"/>
      <c r="N362" s="302"/>
    </row>
    <row r="363" spans="1:14" x14ac:dyDescent="0.25">
      <c r="A363" s="302"/>
      <c r="B363" s="302"/>
      <c r="C363" s="288"/>
      <c r="D363" s="288"/>
      <c r="E363" s="1242"/>
      <c r="F363" s="288"/>
      <c r="G363" s="288"/>
      <c r="H363" s="1015"/>
      <c r="I363" s="1015"/>
      <c r="J363" s="1015"/>
      <c r="K363" s="288"/>
      <c r="L363" s="302"/>
      <c r="M363" s="302"/>
      <c r="N363" s="302"/>
    </row>
    <row r="364" spans="1:14" x14ac:dyDescent="0.25">
      <c r="A364" s="302"/>
      <c r="B364" s="302"/>
      <c r="C364" s="288"/>
      <c r="D364" s="288"/>
      <c r="E364" s="1242"/>
      <c r="F364" s="288"/>
      <c r="G364" s="288"/>
      <c r="H364" s="1015"/>
      <c r="I364" s="1015"/>
      <c r="J364" s="1015"/>
      <c r="K364" s="288"/>
      <c r="L364" s="302"/>
      <c r="M364" s="302"/>
      <c r="N364" s="302"/>
    </row>
    <row r="365" spans="1:14" x14ac:dyDescent="0.25">
      <c r="A365" s="302"/>
      <c r="B365" s="302"/>
      <c r="C365" s="288"/>
      <c r="D365" s="288"/>
      <c r="E365" s="1242"/>
      <c r="F365" s="288"/>
      <c r="G365" s="288"/>
      <c r="H365" s="1015"/>
      <c r="I365" s="1015"/>
      <c r="J365" s="1015"/>
      <c r="K365" s="288"/>
      <c r="L365" s="302"/>
      <c r="M365" s="302"/>
      <c r="N365" s="302"/>
    </row>
    <row r="366" spans="1:14" x14ac:dyDescent="0.25">
      <c r="A366" s="302"/>
      <c r="B366" s="302"/>
      <c r="C366" s="288"/>
      <c r="D366" s="288"/>
      <c r="E366" s="1242"/>
      <c r="F366" s="288"/>
      <c r="G366" s="288"/>
      <c r="H366" s="1015"/>
      <c r="I366" s="1015"/>
      <c r="J366" s="1015"/>
      <c r="K366" s="288"/>
      <c r="L366" s="302"/>
      <c r="M366" s="302"/>
      <c r="N366" s="302"/>
    </row>
    <row r="367" spans="1:14" x14ac:dyDescent="0.25">
      <c r="A367" s="302"/>
      <c r="B367" s="302"/>
      <c r="C367" s="288"/>
      <c r="D367" s="288"/>
      <c r="E367" s="1242"/>
      <c r="F367" s="288"/>
      <c r="G367" s="288"/>
      <c r="H367" s="1015"/>
      <c r="I367" s="1015"/>
      <c r="J367" s="1015"/>
      <c r="K367" s="288"/>
      <c r="L367" s="302"/>
      <c r="M367" s="302"/>
      <c r="N367" s="302"/>
    </row>
    <row r="368" spans="1:14" x14ac:dyDescent="0.25">
      <c r="A368" s="302"/>
      <c r="B368" s="302"/>
      <c r="C368" s="288"/>
      <c r="D368" s="288"/>
      <c r="E368" s="1242"/>
      <c r="F368" s="288"/>
      <c r="G368" s="288"/>
      <c r="H368" s="1015"/>
      <c r="I368" s="1015"/>
      <c r="J368" s="1015"/>
      <c r="K368" s="288"/>
      <c r="L368" s="302"/>
      <c r="M368" s="302"/>
      <c r="N368" s="302"/>
    </row>
    <row r="369" spans="1:14" x14ac:dyDescent="0.25">
      <c r="A369" s="302"/>
      <c r="B369" s="302"/>
      <c r="C369" s="288"/>
      <c r="D369" s="288"/>
      <c r="E369" s="1242"/>
      <c r="F369" s="288"/>
      <c r="G369" s="288"/>
      <c r="H369" s="1015"/>
      <c r="I369" s="1015"/>
      <c r="J369" s="1015"/>
      <c r="K369" s="288"/>
      <c r="L369" s="302"/>
      <c r="M369" s="302"/>
      <c r="N369" s="302"/>
    </row>
    <row r="370" spans="1:14" x14ac:dyDescent="0.25">
      <c r="A370" s="302"/>
      <c r="B370" s="302"/>
      <c r="C370" s="288"/>
      <c r="D370" s="288"/>
      <c r="E370" s="1242"/>
      <c r="F370" s="288"/>
      <c r="G370" s="288"/>
      <c r="H370" s="1015"/>
      <c r="I370" s="1015"/>
      <c r="J370" s="1015"/>
      <c r="K370" s="288"/>
      <c r="L370" s="302"/>
      <c r="M370" s="302"/>
      <c r="N370" s="302"/>
    </row>
    <row r="371" spans="1:14" x14ac:dyDescent="0.25">
      <c r="A371" s="302"/>
      <c r="B371" s="302"/>
      <c r="C371" s="288"/>
      <c r="D371" s="288"/>
      <c r="E371" s="1242"/>
      <c r="F371" s="288"/>
      <c r="G371" s="288"/>
      <c r="H371" s="1015"/>
      <c r="I371" s="1015"/>
      <c r="J371" s="1015"/>
      <c r="K371" s="288"/>
      <c r="L371" s="302"/>
      <c r="M371" s="302"/>
      <c r="N371" s="302"/>
    </row>
    <row r="372" spans="1:14" x14ac:dyDescent="0.25">
      <c r="A372" s="302"/>
      <c r="B372" s="302"/>
      <c r="C372" s="288"/>
      <c r="D372" s="288"/>
      <c r="E372" s="1242"/>
      <c r="F372" s="288"/>
      <c r="G372" s="288"/>
      <c r="H372" s="1015"/>
      <c r="I372" s="1015"/>
      <c r="J372" s="1015"/>
      <c r="K372" s="288"/>
      <c r="L372" s="302"/>
      <c r="M372" s="302"/>
      <c r="N372" s="302"/>
    </row>
    <row r="373" spans="1:14" x14ac:dyDescent="0.25">
      <c r="A373" s="302"/>
      <c r="B373" s="302"/>
      <c r="C373" s="288"/>
      <c r="D373" s="288"/>
      <c r="E373" s="1242"/>
      <c r="F373" s="288"/>
      <c r="G373" s="288"/>
      <c r="H373" s="1015"/>
      <c r="I373" s="1015"/>
      <c r="J373" s="1015"/>
      <c r="K373" s="288"/>
      <c r="L373" s="302"/>
      <c r="M373" s="302"/>
      <c r="N373" s="302"/>
    </row>
    <row r="374" spans="1:14" x14ac:dyDescent="0.25">
      <c r="A374" s="302"/>
      <c r="B374" s="302"/>
      <c r="C374" s="288"/>
      <c r="D374" s="288"/>
      <c r="E374" s="1242"/>
      <c r="F374" s="288"/>
      <c r="G374" s="288"/>
      <c r="H374" s="1015"/>
      <c r="I374" s="1015"/>
      <c r="J374" s="1015"/>
      <c r="K374" s="288"/>
      <c r="L374" s="302"/>
      <c r="M374" s="302"/>
      <c r="N374" s="302"/>
    </row>
    <row r="375" spans="1:14" x14ac:dyDescent="0.25">
      <c r="A375" s="302"/>
      <c r="B375" s="302"/>
      <c r="C375" s="288"/>
      <c r="D375" s="288"/>
      <c r="E375" s="1242"/>
      <c r="F375" s="288"/>
      <c r="G375" s="288"/>
      <c r="H375" s="1015"/>
      <c r="I375" s="1015"/>
      <c r="J375" s="1015"/>
      <c r="K375" s="288"/>
      <c r="L375" s="302"/>
      <c r="M375" s="302"/>
      <c r="N375" s="302"/>
    </row>
    <row r="376" spans="1:14" x14ac:dyDescent="0.25">
      <c r="A376" s="302"/>
      <c r="B376" s="302"/>
      <c r="C376" s="288"/>
      <c r="D376" s="288"/>
      <c r="E376" s="1242"/>
      <c r="F376" s="288"/>
      <c r="G376" s="288"/>
      <c r="H376" s="1015"/>
      <c r="I376" s="1015"/>
      <c r="J376" s="1015"/>
      <c r="K376" s="288"/>
      <c r="L376" s="302"/>
      <c r="M376" s="302"/>
      <c r="N376" s="302"/>
    </row>
    <row r="377" spans="1:14" x14ac:dyDescent="0.25">
      <c r="A377" s="302"/>
      <c r="B377" s="302"/>
      <c r="C377" s="288"/>
      <c r="D377" s="288"/>
      <c r="E377" s="1242"/>
      <c r="F377" s="288"/>
      <c r="G377" s="288"/>
      <c r="H377" s="1015"/>
      <c r="I377" s="1015"/>
      <c r="J377" s="1015"/>
      <c r="K377" s="288"/>
      <c r="L377" s="302"/>
      <c r="M377" s="302"/>
      <c r="N377" s="302"/>
    </row>
    <row r="378" spans="1:14" x14ac:dyDescent="0.25">
      <c r="A378" s="302"/>
      <c r="B378" s="302"/>
      <c r="C378" s="288"/>
      <c r="D378" s="288"/>
      <c r="E378" s="1242"/>
      <c r="F378" s="288"/>
      <c r="G378" s="288"/>
      <c r="H378" s="1015"/>
      <c r="I378" s="1015"/>
      <c r="J378" s="1015"/>
      <c r="K378" s="288"/>
      <c r="L378" s="302"/>
      <c r="M378" s="302"/>
      <c r="N378" s="302"/>
    </row>
    <row r="379" spans="1:14" x14ac:dyDescent="0.25">
      <c r="A379" s="302"/>
      <c r="B379" s="302"/>
      <c r="C379" s="288"/>
      <c r="D379" s="288"/>
      <c r="E379" s="1242"/>
      <c r="F379" s="288"/>
      <c r="G379" s="288"/>
      <c r="H379" s="1015"/>
      <c r="I379" s="1015"/>
      <c r="J379" s="1015"/>
      <c r="K379" s="288"/>
      <c r="L379" s="302"/>
      <c r="M379" s="302"/>
      <c r="N379" s="302"/>
    </row>
    <row r="380" spans="1:14" x14ac:dyDescent="0.25">
      <c r="A380" s="302"/>
      <c r="B380" s="302"/>
      <c r="C380" s="288"/>
      <c r="D380" s="288"/>
      <c r="E380" s="1242"/>
      <c r="F380" s="288"/>
      <c r="G380" s="288"/>
      <c r="H380" s="1015"/>
      <c r="I380" s="1015"/>
      <c r="J380" s="1015"/>
      <c r="K380" s="288"/>
      <c r="L380" s="302"/>
      <c r="M380" s="302"/>
      <c r="N380" s="302"/>
    </row>
    <row r="381" spans="1:14" x14ac:dyDescent="0.25">
      <c r="A381" s="302"/>
      <c r="B381" s="302"/>
      <c r="C381" s="288"/>
      <c r="D381" s="288"/>
      <c r="E381" s="1242"/>
      <c r="F381" s="288"/>
      <c r="G381" s="288"/>
      <c r="H381" s="1015"/>
      <c r="I381" s="1015"/>
      <c r="J381" s="1015"/>
      <c r="K381" s="288"/>
      <c r="L381" s="302"/>
      <c r="M381" s="302"/>
      <c r="N381" s="302"/>
    </row>
    <row r="382" spans="1:14" x14ac:dyDescent="0.25">
      <c r="A382" s="302"/>
      <c r="B382" s="302"/>
      <c r="C382" s="288"/>
      <c r="D382" s="288"/>
      <c r="E382" s="1242"/>
      <c r="F382" s="288"/>
      <c r="G382" s="288"/>
      <c r="H382" s="1015"/>
      <c r="I382" s="1015"/>
      <c r="J382" s="1015"/>
      <c r="K382" s="288"/>
      <c r="L382" s="302"/>
      <c r="M382" s="302"/>
      <c r="N382" s="302"/>
    </row>
    <row r="383" spans="1:14" x14ac:dyDescent="0.25">
      <c r="A383" s="302"/>
      <c r="B383" s="302"/>
      <c r="C383" s="288"/>
      <c r="D383" s="288"/>
      <c r="E383" s="1242"/>
      <c r="F383" s="288"/>
      <c r="G383" s="288"/>
      <c r="H383" s="1015"/>
      <c r="I383" s="1015"/>
      <c r="J383" s="1015"/>
      <c r="K383" s="288"/>
      <c r="L383" s="302"/>
      <c r="M383" s="302"/>
      <c r="N383" s="302"/>
    </row>
    <row r="384" spans="1:14" x14ac:dyDescent="0.25">
      <c r="A384" s="302"/>
      <c r="B384" s="302"/>
      <c r="C384" s="288"/>
      <c r="D384" s="288"/>
      <c r="E384" s="1242"/>
      <c r="F384" s="288"/>
      <c r="G384" s="288"/>
      <c r="H384" s="1015"/>
      <c r="I384" s="1015"/>
      <c r="J384" s="1015"/>
      <c r="K384" s="288"/>
      <c r="L384" s="302"/>
      <c r="M384" s="302"/>
      <c r="N384" s="302"/>
    </row>
    <row r="385" spans="1:14" x14ac:dyDescent="0.25">
      <c r="A385" s="302"/>
      <c r="B385" s="302"/>
      <c r="C385" s="288"/>
      <c r="D385" s="288"/>
      <c r="E385" s="1242"/>
      <c r="F385" s="288"/>
      <c r="G385" s="288"/>
      <c r="H385" s="1015"/>
      <c r="I385" s="1015"/>
      <c r="J385" s="1015"/>
      <c r="K385" s="288"/>
      <c r="L385" s="302"/>
      <c r="M385" s="302"/>
      <c r="N385" s="302"/>
    </row>
    <row r="386" spans="1:14" x14ac:dyDescent="0.25">
      <c r="A386" s="302"/>
      <c r="B386" s="302"/>
      <c r="C386" s="288"/>
      <c r="D386" s="288"/>
      <c r="E386" s="1242"/>
      <c r="F386" s="288"/>
      <c r="G386" s="288"/>
      <c r="H386" s="1015"/>
      <c r="I386" s="1015"/>
      <c r="J386" s="1015"/>
      <c r="K386" s="288"/>
      <c r="L386" s="302"/>
      <c r="M386" s="302"/>
      <c r="N386" s="302"/>
    </row>
    <row r="387" spans="1:14" x14ac:dyDescent="0.25">
      <c r="A387" s="302"/>
      <c r="B387" s="302"/>
      <c r="C387" s="288"/>
      <c r="D387" s="288"/>
      <c r="E387" s="1242"/>
      <c r="F387" s="288"/>
      <c r="G387" s="288"/>
      <c r="H387" s="1015"/>
      <c r="I387" s="1015"/>
      <c r="J387" s="1015"/>
      <c r="K387" s="288"/>
      <c r="L387" s="302"/>
      <c r="M387" s="302"/>
      <c r="N387" s="302"/>
    </row>
    <row r="388" spans="1:14" x14ac:dyDescent="0.25">
      <c r="A388" s="302"/>
      <c r="B388" s="302"/>
      <c r="C388" s="288"/>
      <c r="D388" s="288"/>
      <c r="E388" s="1242"/>
      <c r="F388" s="288"/>
      <c r="G388" s="288"/>
      <c r="H388" s="1015"/>
      <c r="I388" s="1015"/>
      <c r="J388" s="1015"/>
      <c r="K388" s="288"/>
      <c r="L388" s="302"/>
      <c r="M388" s="302"/>
      <c r="N388" s="302"/>
    </row>
    <row r="389" spans="1:14" x14ac:dyDescent="0.25">
      <c r="A389" s="302"/>
      <c r="B389" s="302"/>
      <c r="C389" s="288"/>
      <c r="D389" s="288"/>
      <c r="E389" s="1242"/>
      <c r="F389" s="288"/>
      <c r="G389" s="288"/>
      <c r="H389" s="1015"/>
      <c r="I389" s="1015"/>
      <c r="J389" s="1015"/>
      <c r="K389" s="288"/>
      <c r="L389" s="302"/>
      <c r="M389" s="302"/>
      <c r="N389" s="302"/>
    </row>
    <row r="390" spans="1:14" x14ac:dyDescent="0.25">
      <c r="A390" s="302"/>
      <c r="B390" s="302"/>
      <c r="C390" s="288"/>
      <c r="D390" s="288"/>
      <c r="E390" s="1242"/>
      <c r="F390" s="288"/>
      <c r="G390" s="288"/>
      <c r="H390" s="1015"/>
      <c r="I390" s="1015"/>
      <c r="J390" s="1015"/>
      <c r="K390" s="288"/>
      <c r="L390" s="302"/>
      <c r="M390" s="302"/>
      <c r="N390" s="302"/>
    </row>
    <row r="391" spans="1:14" x14ac:dyDescent="0.25">
      <c r="A391" s="302"/>
      <c r="B391" s="302"/>
      <c r="C391" s="288"/>
      <c r="D391" s="288"/>
      <c r="E391" s="1242"/>
      <c r="F391" s="288"/>
      <c r="G391" s="288"/>
      <c r="H391" s="1015"/>
      <c r="I391" s="1015"/>
      <c r="J391" s="1015"/>
      <c r="K391" s="288"/>
      <c r="L391" s="302"/>
      <c r="M391" s="302"/>
      <c r="N391" s="302"/>
    </row>
    <row r="392" spans="1:14" x14ac:dyDescent="0.25">
      <c r="A392" s="302"/>
      <c r="B392" s="302"/>
      <c r="C392" s="288"/>
      <c r="D392" s="288"/>
      <c r="E392" s="1242"/>
      <c r="F392" s="288"/>
      <c r="G392" s="288"/>
      <c r="H392" s="1015"/>
      <c r="I392" s="1015"/>
      <c r="J392" s="1015"/>
      <c r="K392" s="288"/>
      <c r="L392" s="302"/>
      <c r="M392" s="302"/>
      <c r="N392" s="302"/>
    </row>
    <row r="393" spans="1:14" x14ac:dyDescent="0.25">
      <c r="A393" s="302"/>
      <c r="B393" s="302"/>
      <c r="C393" s="288"/>
      <c r="D393" s="288"/>
      <c r="E393" s="1242"/>
      <c r="F393" s="288"/>
      <c r="G393" s="288"/>
      <c r="H393" s="1015"/>
      <c r="I393" s="1015"/>
      <c r="J393" s="1015"/>
      <c r="K393" s="288"/>
      <c r="L393" s="302"/>
      <c r="M393" s="302"/>
      <c r="N393" s="302"/>
    </row>
    <row r="394" spans="1:14" x14ac:dyDescent="0.25">
      <c r="A394" s="302"/>
      <c r="B394" s="302"/>
      <c r="C394" s="288"/>
      <c r="D394" s="288"/>
      <c r="E394" s="1242"/>
      <c r="F394" s="288"/>
      <c r="G394" s="288"/>
      <c r="H394" s="1015"/>
      <c r="I394" s="1015"/>
      <c r="J394" s="1015"/>
      <c r="K394" s="288"/>
      <c r="L394" s="302"/>
      <c r="M394" s="302"/>
      <c r="N394" s="302"/>
    </row>
    <row r="395" spans="1:14" x14ac:dyDescent="0.25">
      <c r="A395" s="302"/>
      <c r="B395" s="302"/>
      <c r="C395" s="288"/>
      <c r="D395" s="288"/>
      <c r="E395" s="1242"/>
      <c r="F395" s="288"/>
      <c r="G395" s="288"/>
      <c r="H395" s="1015"/>
      <c r="I395" s="1015"/>
      <c r="J395" s="1015"/>
      <c r="K395" s="288"/>
      <c r="L395" s="302"/>
      <c r="M395" s="302"/>
      <c r="N395" s="302"/>
    </row>
    <row r="396" spans="1:14" x14ac:dyDescent="0.25">
      <c r="A396" s="302"/>
      <c r="B396" s="302"/>
      <c r="C396" s="288"/>
      <c r="D396" s="288"/>
      <c r="E396" s="1242"/>
      <c r="F396" s="288"/>
      <c r="G396" s="288"/>
      <c r="H396" s="1015"/>
      <c r="I396" s="1015"/>
      <c r="J396" s="1015"/>
      <c r="K396" s="288"/>
      <c r="L396" s="302"/>
      <c r="M396" s="302"/>
      <c r="N396" s="302"/>
    </row>
    <row r="397" spans="1:14" x14ac:dyDescent="0.25">
      <c r="A397" s="302"/>
      <c r="B397" s="302"/>
      <c r="C397" s="288"/>
      <c r="D397" s="288"/>
      <c r="E397" s="1242"/>
      <c r="F397" s="288"/>
      <c r="G397" s="288"/>
      <c r="H397" s="1015"/>
      <c r="I397" s="1015"/>
      <c r="J397" s="1015"/>
      <c r="K397" s="288"/>
      <c r="L397" s="302"/>
      <c r="M397" s="302"/>
      <c r="N397" s="302"/>
    </row>
    <row r="398" spans="1:14" x14ac:dyDescent="0.25">
      <c r="A398" s="302"/>
      <c r="B398" s="302"/>
      <c r="C398" s="288"/>
      <c r="D398" s="288"/>
      <c r="E398" s="1242"/>
      <c r="F398" s="288"/>
      <c r="G398" s="288"/>
      <c r="H398" s="1015"/>
      <c r="I398" s="1015"/>
      <c r="J398" s="1015"/>
      <c r="K398" s="288"/>
      <c r="L398" s="302"/>
      <c r="M398" s="302"/>
      <c r="N398" s="302"/>
    </row>
    <row r="399" spans="1:14" x14ac:dyDescent="0.25">
      <c r="A399" s="302"/>
      <c r="B399" s="302"/>
      <c r="C399" s="288"/>
      <c r="D399" s="288"/>
      <c r="E399" s="1242"/>
      <c r="F399" s="288"/>
      <c r="G399" s="288"/>
      <c r="H399" s="1015"/>
      <c r="I399" s="1015"/>
      <c r="J399" s="1015"/>
      <c r="K399" s="288"/>
      <c r="L399" s="302"/>
      <c r="M399" s="302"/>
      <c r="N399" s="302"/>
    </row>
    <row r="400" spans="1:14" x14ac:dyDescent="0.25">
      <c r="A400" s="302"/>
      <c r="B400" s="302"/>
      <c r="C400" s="288"/>
      <c r="D400" s="288"/>
      <c r="E400" s="1242"/>
      <c r="F400" s="288"/>
      <c r="G400" s="288"/>
      <c r="H400" s="1015"/>
      <c r="I400" s="1015"/>
      <c r="J400" s="1015"/>
      <c r="K400" s="288"/>
      <c r="L400" s="302"/>
      <c r="M400" s="302"/>
      <c r="N400" s="302"/>
    </row>
    <row r="401" spans="1:14" x14ac:dyDescent="0.25">
      <c r="A401" s="302"/>
      <c r="B401" s="302"/>
      <c r="C401" s="288"/>
      <c r="D401" s="288"/>
      <c r="E401" s="1242"/>
      <c r="F401" s="288"/>
      <c r="G401" s="288"/>
      <c r="H401" s="1015"/>
      <c r="I401" s="1015"/>
      <c r="J401" s="1015"/>
      <c r="K401" s="288"/>
      <c r="L401" s="302"/>
      <c r="M401" s="302"/>
      <c r="N401" s="302"/>
    </row>
    <row r="402" spans="1:14" x14ac:dyDescent="0.25">
      <c r="A402" s="302"/>
      <c r="B402" s="302"/>
      <c r="C402" s="288"/>
      <c r="D402" s="288"/>
      <c r="E402" s="1242"/>
      <c r="F402" s="288"/>
      <c r="G402" s="288"/>
      <c r="H402" s="1015"/>
      <c r="I402" s="1015"/>
      <c r="J402" s="1015"/>
      <c r="K402" s="288"/>
      <c r="L402" s="302"/>
      <c r="M402" s="302"/>
      <c r="N402" s="302"/>
    </row>
    <row r="403" spans="1:14" x14ac:dyDescent="0.25">
      <c r="A403" s="302"/>
      <c r="B403" s="302"/>
      <c r="C403" s="288"/>
      <c r="D403" s="288"/>
      <c r="E403" s="1242"/>
      <c r="F403" s="288"/>
      <c r="G403" s="288"/>
      <c r="H403" s="1015"/>
      <c r="I403" s="1015"/>
      <c r="J403" s="1015"/>
      <c r="K403" s="288"/>
      <c r="L403" s="302"/>
      <c r="M403" s="302"/>
      <c r="N403" s="302"/>
    </row>
    <row r="404" spans="1:14" x14ac:dyDescent="0.25">
      <c r="A404" s="302"/>
      <c r="B404" s="302"/>
      <c r="C404" s="288"/>
      <c r="D404" s="288"/>
      <c r="E404" s="1242"/>
      <c r="F404" s="288"/>
      <c r="G404" s="288"/>
      <c r="H404" s="1015"/>
      <c r="I404" s="1015"/>
      <c r="J404" s="1015"/>
      <c r="K404" s="288"/>
      <c r="L404" s="302"/>
      <c r="M404" s="302"/>
      <c r="N404" s="302"/>
    </row>
    <row r="405" spans="1:14" x14ac:dyDescent="0.25">
      <c r="A405" s="302"/>
      <c r="B405" s="302"/>
      <c r="C405" s="288"/>
      <c r="D405" s="288"/>
      <c r="E405" s="1242"/>
      <c r="F405" s="288"/>
      <c r="G405" s="288"/>
      <c r="H405" s="1015"/>
      <c r="I405" s="1015"/>
      <c r="J405" s="1015"/>
      <c r="K405" s="288"/>
      <c r="L405" s="302"/>
      <c r="M405" s="302"/>
      <c r="N405" s="302"/>
    </row>
    <row r="406" spans="1:14" x14ac:dyDescent="0.25">
      <c r="A406" s="302"/>
      <c r="B406" s="302"/>
      <c r="C406" s="288"/>
      <c r="D406" s="288"/>
      <c r="E406" s="1242"/>
      <c r="F406" s="288"/>
      <c r="G406" s="288"/>
      <c r="H406" s="1015"/>
      <c r="I406" s="1015"/>
      <c r="J406" s="1015"/>
      <c r="K406" s="288"/>
      <c r="L406" s="302"/>
      <c r="M406" s="302"/>
      <c r="N406" s="302"/>
    </row>
    <row r="407" spans="1:14" x14ac:dyDescent="0.25">
      <c r="A407" s="302"/>
      <c r="B407" s="302"/>
      <c r="C407" s="288"/>
      <c r="D407" s="288"/>
      <c r="E407" s="1242"/>
      <c r="F407" s="288"/>
      <c r="G407" s="288"/>
      <c r="H407" s="1015"/>
      <c r="I407" s="1015"/>
      <c r="J407" s="1015"/>
      <c r="K407" s="288"/>
      <c r="L407" s="302"/>
      <c r="M407" s="302"/>
      <c r="N407" s="302"/>
    </row>
    <row r="408" spans="1:14" x14ac:dyDescent="0.25">
      <c r="A408" s="302"/>
      <c r="B408" s="302"/>
      <c r="C408" s="288"/>
      <c r="D408" s="288"/>
      <c r="E408" s="1242"/>
      <c r="F408" s="288"/>
      <c r="G408" s="288"/>
      <c r="H408" s="1015"/>
      <c r="I408" s="1015"/>
      <c r="J408" s="1015"/>
      <c r="K408" s="288"/>
      <c r="L408" s="302"/>
      <c r="M408" s="302"/>
      <c r="N408" s="302"/>
    </row>
    <row r="409" spans="1:14" x14ac:dyDescent="0.25">
      <c r="A409" s="302"/>
      <c r="B409" s="302"/>
      <c r="C409" s="288"/>
      <c r="D409" s="288"/>
      <c r="E409" s="1242"/>
      <c r="F409" s="288"/>
      <c r="G409" s="288"/>
      <c r="H409" s="1015"/>
      <c r="I409" s="1015"/>
      <c r="J409" s="1015"/>
      <c r="K409" s="288"/>
      <c r="L409" s="302"/>
      <c r="M409" s="302"/>
      <c r="N409" s="302"/>
    </row>
    <row r="410" spans="1:14" x14ac:dyDescent="0.25">
      <c r="A410" s="302"/>
      <c r="B410" s="302"/>
      <c r="C410" s="288"/>
      <c r="D410" s="288"/>
      <c r="E410" s="1242"/>
      <c r="F410" s="288"/>
      <c r="G410" s="288"/>
      <c r="H410" s="1015"/>
      <c r="I410" s="1015"/>
      <c r="J410" s="1015"/>
      <c r="K410" s="288"/>
      <c r="L410" s="302"/>
      <c r="M410" s="302"/>
      <c r="N410" s="302"/>
    </row>
    <row r="411" spans="1:14" x14ac:dyDescent="0.25">
      <c r="A411" s="302"/>
      <c r="B411" s="302"/>
      <c r="C411" s="288"/>
      <c r="D411" s="288"/>
      <c r="E411" s="1242"/>
      <c r="F411" s="288"/>
      <c r="G411" s="288"/>
      <c r="H411" s="1015"/>
      <c r="I411" s="1015"/>
      <c r="J411" s="1015"/>
      <c r="K411" s="288"/>
      <c r="L411" s="302"/>
      <c r="M411" s="302"/>
      <c r="N411" s="302"/>
    </row>
    <row r="412" spans="1:14" x14ac:dyDescent="0.25">
      <c r="A412" s="302"/>
      <c r="B412" s="302"/>
      <c r="C412" s="288"/>
      <c r="D412" s="288"/>
      <c r="E412" s="1242"/>
      <c r="F412" s="288"/>
      <c r="G412" s="288"/>
      <c r="H412" s="1015"/>
      <c r="I412" s="1015"/>
      <c r="J412" s="1015"/>
      <c r="K412" s="288"/>
      <c r="L412" s="302"/>
      <c r="M412" s="302"/>
      <c r="N412" s="302"/>
    </row>
    <row r="413" spans="1:14" x14ac:dyDescent="0.25">
      <c r="A413" s="302"/>
      <c r="B413" s="302"/>
      <c r="C413" s="288"/>
      <c r="D413" s="288"/>
      <c r="E413" s="1242"/>
      <c r="F413" s="288"/>
      <c r="G413" s="288"/>
      <c r="H413" s="1015"/>
      <c r="I413" s="1015"/>
      <c r="J413" s="1015"/>
      <c r="K413" s="288"/>
      <c r="L413" s="302"/>
      <c r="M413" s="302"/>
      <c r="N413" s="302"/>
    </row>
    <row r="414" spans="1:14" x14ac:dyDescent="0.25">
      <c r="A414" s="302"/>
      <c r="B414" s="302"/>
      <c r="C414" s="288"/>
      <c r="D414" s="288"/>
      <c r="E414" s="1242"/>
      <c r="F414" s="288"/>
      <c r="G414" s="288"/>
      <c r="H414" s="1015"/>
      <c r="I414" s="1015"/>
      <c r="J414" s="1015"/>
      <c r="K414" s="288"/>
      <c r="L414" s="302"/>
      <c r="M414" s="302"/>
      <c r="N414" s="302"/>
    </row>
    <row r="415" spans="1:14" x14ac:dyDescent="0.25">
      <c r="A415" s="302"/>
      <c r="B415" s="302"/>
      <c r="C415" s="288"/>
      <c r="D415" s="288"/>
      <c r="E415" s="1242"/>
      <c r="F415" s="288"/>
      <c r="G415" s="288"/>
      <c r="H415" s="1015"/>
      <c r="I415" s="1015"/>
      <c r="J415" s="1015"/>
      <c r="K415" s="288"/>
      <c r="L415" s="302"/>
      <c r="M415" s="302"/>
      <c r="N415" s="302"/>
    </row>
    <row r="416" spans="1:14" x14ac:dyDescent="0.25">
      <c r="A416" s="302"/>
      <c r="B416" s="302"/>
      <c r="C416" s="288"/>
      <c r="D416" s="288"/>
      <c r="E416" s="1242"/>
      <c r="F416" s="288"/>
      <c r="G416" s="288"/>
      <c r="H416" s="1015"/>
      <c r="I416" s="1015"/>
      <c r="J416" s="1015"/>
      <c r="K416" s="288"/>
      <c r="L416" s="302"/>
      <c r="M416" s="302"/>
      <c r="N416" s="302"/>
    </row>
    <row r="417" spans="1:14" x14ac:dyDescent="0.25">
      <c r="A417" s="302"/>
      <c r="B417" s="302"/>
      <c r="C417" s="288"/>
      <c r="D417" s="288"/>
      <c r="E417" s="1242"/>
      <c r="F417" s="288"/>
      <c r="G417" s="288"/>
      <c r="H417" s="1015"/>
      <c r="I417" s="1015"/>
      <c r="J417" s="1015"/>
      <c r="K417" s="288"/>
      <c r="L417" s="302"/>
      <c r="M417" s="302"/>
      <c r="N417" s="302"/>
    </row>
    <row r="418" spans="1:14" x14ac:dyDescent="0.25">
      <c r="A418" s="302"/>
      <c r="B418" s="302"/>
      <c r="C418" s="288"/>
      <c r="D418" s="288"/>
      <c r="E418" s="1242"/>
      <c r="F418" s="288"/>
      <c r="G418" s="288"/>
      <c r="H418" s="1015"/>
      <c r="I418" s="1015"/>
      <c r="J418" s="1015"/>
      <c r="K418" s="288"/>
      <c r="L418" s="302"/>
      <c r="M418" s="302"/>
      <c r="N418" s="302"/>
    </row>
    <row r="419" spans="1:14" x14ac:dyDescent="0.25">
      <c r="A419" s="302"/>
      <c r="B419" s="302"/>
      <c r="C419" s="288"/>
      <c r="D419" s="288"/>
      <c r="E419" s="1242"/>
      <c r="F419" s="288"/>
      <c r="G419" s="288"/>
      <c r="H419" s="1015"/>
      <c r="I419" s="1015"/>
      <c r="J419" s="1015"/>
      <c r="K419" s="288"/>
      <c r="L419" s="302"/>
      <c r="M419" s="302"/>
      <c r="N419" s="302"/>
    </row>
    <row r="420" spans="1:14" x14ac:dyDescent="0.25">
      <c r="A420" s="302"/>
      <c r="B420" s="302"/>
      <c r="C420" s="288"/>
      <c r="D420" s="288"/>
      <c r="E420" s="1242"/>
      <c r="F420" s="288"/>
      <c r="G420" s="288"/>
      <c r="H420" s="1015"/>
      <c r="I420" s="1015"/>
      <c r="J420" s="1015"/>
      <c r="K420" s="288"/>
      <c r="L420" s="302"/>
      <c r="M420" s="302"/>
      <c r="N420" s="302"/>
    </row>
    <row r="421" spans="1:14" x14ac:dyDescent="0.25">
      <c r="A421" s="302"/>
      <c r="B421" s="302"/>
      <c r="C421" s="288"/>
      <c r="D421" s="288"/>
      <c r="E421" s="1242"/>
      <c r="F421" s="288"/>
      <c r="G421" s="288"/>
      <c r="H421" s="1015"/>
      <c r="I421" s="1015"/>
      <c r="J421" s="1015"/>
      <c r="K421" s="288"/>
      <c r="L421" s="302"/>
      <c r="M421" s="302"/>
      <c r="N421" s="302"/>
    </row>
    <row r="422" spans="1:14" x14ac:dyDescent="0.25">
      <c r="A422" s="302"/>
      <c r="B422" s="302"/>
      <c r="C422" s="288"/>
      <c r="D422" s="288"/>
      <c r="E422" s="1242"/>
      <c r="F422" s="288"/>
      <c r="G422" s="288"/>
      <c r="H422" s="1015"/>
      <c r="I422" s="1015"/>
      <c r="J422" s="1015"/>
      <c r="K422" s="288"/>
      <c r="L422" s="302"/>
      <c r="M422" s="302"/>
      <c r="N422" s="302"/>
    </row>
    <row r="423" spans="1:14" x14ac:dyDescent="0.25">
      <c r="A423" s="302"/>
      <c r="B423" s="302"/>
      <c r="C423" s="288"/>
      <c r="D423" s="288"/>
      <c r="E423" s="1242"/>
      <c r="F423" s="288"/>
      <c r="G423" s="288"/>
      <c r="H423" s="1015"/>
      <c r="I423" s="1015"/>
      <c r="J423" s="1015"/>
      <c r="K423" s="288"/>
      <c r="L423" s="302"/>
      <c r="M423" s="302"/>
      <c r="N423" s="302"/>
    </row>
    <row r="424" spans="1:14" x14ac:dyDescent="0.25">
      <c r="A424" s="302"/>
      <c r="B424" s="302"/>
      <c r="C424" s="288"/>
      <c r="D424" s="288"/>
      <c r="E424" s="1242"/>
      <c r="F424" s="288"/>
      <c r="G424" s="288"/>
      <c r="H424" s="1015"/>
      <c r="I424" s="1015"/>
      <c r="J424" s="1015"/>
      <c r="K424" s="288"/>
      <c r="L424" s="302"/>
      <c r="M424" s="302"/>
      <c r="N424" s="302"/>
    </row>
    <row r="425" spans="1:14" x14ac:dyDescent="0.25">
      <c r="A425" s="302"/>
      <c r="B425" s="302"/>
      <c r="C425" s="288"/>
      <c r="D425" s="288"/>
      <c r="E425" s="1242"/>
      <c r="F425" s="288"/>
      <c r="G425" s="288"/>
      <c r="H425" s="1015"/>
      <c r="I425" s="1015"/>
      <c r="J425" s="1015"/>
      <c r="K425" s="288"/>
      <c r="L425" s="302"/>
      <c r="M425" s="302"/>
      <c r="N425" s="302"/>
    </row>
    <row r="426" spans="1:14" x14ac:dyDescent="0.25">
      <c r="A426" s="302"/>
      <c r="B426" s="302"/>
      <c r="C426" s="288"/>
      <c r="D426" s="288"/>
      <c r="E426" s="1242"/>
      <c r="F426" s="288"/>
      <c r="G426" s="288"/>
      <c r="H426" s="1015"/>
      <c r="I426" s="1015"/>
      <c r="J426" s="1015"/>
      <c r="K426" s="288"/>
      <c r="L426" s="302"/>
      <c r="M426" s="302"/>
      <c r="N426" s="302"/>
    </row>
    <row r="427" spans="1:14" x14ac:dyDescent="0.25">
      <c r="A427" s="302"/>
      <c r="B427" s="302"/>
      <c r="C427" s="288"/>
      <c r="D427" s="288"/>
      <c r="E427" s="1242"/>
      <c r="F427" s="288"/>
      <c r="G427" s="288"/>
      <c r="H427" s="1015"/>
      <c r="I427" s="1015"/>
      <c r="J427" s="1015"/>
      <c r="K427" s="288"/>
      <c r="L427" s="302"/>
      <c r="M427" s="302"/>
      <c r="N427" s="302"/>
    </row>
    <row r="428" spans="1:14" x14ac:dyDescent="0.25">
      <c r="A428" s="302"/>
      <c r="B428" s="302"/>
      <c r="C428" s="288"/>
      <c r="D428" s="288"/>
      <c r="E428" s="1242"/>
      <c r="F428" s="288"/>
      <c r="G428" s="288"/>
      <c r="H428" s="1015"/>
      <c r="I428" s="1015"/>
      <c r="J428" s="1015"/>
      <c r="K428" s="288"/>
      <c r="L428" s="302"/>
      <c r="M428" s="302"/>
      <c r="N428" s="302"/>
    </row>
    <row r="429" spans="1:14" x14ac:dyDescent="0.25">
      <c r="A429" s="302"/>
      <c r="B429" s="302"/>
      <c r="C429" s="288"/>
      <c r="D429" s="288"/>
      <c r="E429" s="1242"/>
      <c r="F429" s="288"/>
      <c r="G429" s="288"/>
      <c r="H429" s="1015"/>
      <c r="I429" s="1015"/>
      <c r="J429" s="1015"/>
      <c r="K429" s="288"/>
      <c r="L429" s="302"/>
      <c r="M429" s="302"/>
      <c r="N429" s="302"/>
    </row>
    <row r="430" spans="1:14" x14ac:dyDescent="0.25">
      <c r="A430" s="302"/>
      <c r="B430" s="302"/>
      <c r="C430" s="288"/>
      <c r="D430" s="288"/>
      <c r="E430" s="1242"/>
      <c r="F430" s="288"/>
      <c r="G430" s="288"/>
      <c r="H430" s="1015"/>
      <c r="I430" s="1015"/>
      <c r="J430" s="1015"/>
      <c r="K430" s="288"/>
      <c r="L430" s="302"/>
      <c r="M430" s="302"/>
      <c r="N430" s="302"/>
    </row>
    <row r="431" spans="1:14" x14ac:dyDescent="0.25">
      <c r="A431" s="302"/>
      <c r="B431" s="302"/>
      <c r="C431" s="288"/>
      <c r="D431" s="288"/>
      <c r="E431" s="1242"/>
      <c r="F431" s="288"/>
      <c r="G431" s="288"/>
      <c r="H431" s="1015"/>
      <c r="I431" s="1015"/>
      <c r="J431" s="1015"/>
      <c r="K431" s="288"/>
      <c r="L431" s="302"/>
      <c r="M431" s="302"/>
      <c r="N431" s="302"/>
    </row>
    <row r="432" spans="1:14" x14ac:dyDescent="0.25">
      <c r="A432" s="302"/>
      <c r="B432" s="302"/>
      <c r="C432" s="288"/>
      <c r="D432" s="288"/>
      <c r="E432" s="1242"/>
      <c r="F432" s="288"/>
      <c r="G432" s="288"/>
      <c r="H432" s="1015"/>
      <c r="I432" s="1015"/>
      <c r="J432" s="1015"/>
      <c r="K432" s="288"/>
      <c r="L432" s="302"/>
      <c r="M432" s="302"/>
      <c r="N432" s="302"/>
    </row>
    <row r="433" spans="1:14" x14ac:dyDescent="0.25">
      <c r="A433" s="302"/>
      <c r="B433" s="302"/>
      <c r="C433" s="288"/>
      <c r="D433" s="288"/>
      <c r="E433" s="1242"/>
      <c r="F433" s="288"/>
      <c r="G433" s="288"/>
      <c r="H433" s="1015"/>
      <c r="I433" s="1015"/>
      <c r="J433" s="1015"/>
      <c r="K433" s="288"/>
      <c r="L433" s="302"/>
      <c r="M433" s="302"/>
      <c r="N433" s="302"/>
    </row>
    <row r="434" spans="1:14" x14ac:dyDescent="0.25">
      <c r="A434" s="302"/>
      <c r="B434" s="302"/>
      <c r="C434" s="288"/>
      <c r="D434" s="288"/>
      <c r="E434" s="1242"/>
      <c r="F434" s="288"/>
      <c r="G434" s="288"/>
      <c r="H434" s="1015"/>
      <c r="I434" s="1015"/>
      <c r="J434" s="1015"/>
      <c r="K434" s="288"/>
      <c r="L434" s="302"/>
      <c r="M434" s="302"/>
      <c r="N434" s="302"/>
    </row>
    <row r="435" spans="1:14" x14ac:dyDescent="0.25">
      <c r="A435" s="302"/>
      <c r="B435" s="302"/>
      <c r="C435" s="288"/>
      <c r="D435" s="288"/>
      <c r="E435" s="1242"/>
      <c r="F435" s="288"/>
      <c r="G435" s="288"/>
      <c r="H435" s="1015"/>
      <c r="I435" s="1015"/>
      <c r="J435" s="1015"/>
      <c r="K435" s="288"/>
      <c r="L435" s="302"/>
      <c r="M435" s="302"/>
      <c r="N435" s="302"/>
    </row>
    <row r="436" spans="1:14" x14ac:dyDescent="0.25">
      <c r="A436" s="302"/>
      <c r="B436" s="302"/>
      <c r="C436" s="288"/>
      <c r="D436" s="288"/>
      <c r="E436" s="1242"/>
      <c r="F436" s="288"/>
      <c r="G436" s="288"/>
      <c r="H436" s="1015"/>
      <c r="I436" s="1015"/>
      <c r="J436" s="1015"/>
      <c r="K436" s="288"/>
      <c r="L436" s="302"/>
      <c r="M436" s="302"/>
      <c r="N436" s="302"/>
    </row>
    <row r="437" spans="1:14" x14ac:dyDescent="0.25">
      <c r="A437" s="302"/>
      <c r="B437" s="302"/>
      <c r="C437" s="288"/>
      <c r="D437" s="288"/>
      <c r="E437" s="1242"/>
      <c r="F437" s="288"/>
      <c r="G437" s="288"/>
      <c r="H437" s="1015"/>
      <c r="I437" s="1015"/>
      <c r="J437" s="1015"/>
      <c r="K437" s="288"/>
      <c r="L437" s="302"/>
      <c r="M437" s="302"/>
      <c r="N437" s="302"/>
    </row>
    <row r="438" spans="1:14" x14ac:dyDescent="0.25">
      <c r="A438" s="302"/>
      <c r="B438" s="302"/>
      <c r="C438" s="288"/>
      <c r="D438" s="288"/>
      <c r="E438" s="1242"/>
      <c r="F438" s="288"/>
      <c r="G438" s="288"/>
      <c r="H438" s="1015"/>
      <c r="I438" s="1015"/>
      <c r="J438" s="1015"/>
      <c r="K438" s="288"/>
      <c r="L438" s="302"/>
      <c r="M438" s="302"/>
      <c r="N438" s="302"/>
    </row>
    <row r="439" spans="1:14" x14ac:dyDescent="0.25">
      <c r="A439" s="302"/>
      <c r="B439" s="302"/>
      <c r="C439" s="288"/>
      <c r="D439" s="288"/>
      <c r="E439" s="1242"/>
      <c r="F439" s="288"/>
      <c r="G439" s="288"/>
      <c r="H439" s="1015"/>
      <c r="I439" s="1015"/>
      <c r="J439" s="1015"/>
      <c r="K439" s="288"/>
      <c r="L439" s="302"/>
      <c r="M439" s="302"/>
      <c r="N439" s="302"/>
    </row>
    <row r="440" spans="1:14" x14ac:dyDescent="0.25">
      <c r="A440" s="302"/>
      <c r="B440" s="302"/>
      <c r="C440" s="288"/>
      <c r="D440" s="288"/>
      <c r="E440" s="1242"/>
      <c r="F440" s="288"/>
      <c r="G440" s="288"/>
      <c r="H440" s="1015"/>
      <c r="I440" s="1015"/>
      <c r="J440" s="1015"/>
      <c r="K440" s="288"/>
      <c r="L440" s="302"/>
      <c r="M440" s="302"/>
      <c r="N440" s="302"/>
    </row>
    <row r="441" spans="1:14" x14ac:dyDescent="0.25">
      <c r="A441" s="302"/>
      <c r="B441" s="302"/>
      <c r="C441" s="288"/>
      <c r="D441" s="288"/>
      <c r="E441" s="1242"/>
      <c r="F441" s="288"/>
      <c r="G441" s="288"/>
      <c r="H441" s="1015"/>
      <c r="I441" s="1015"/>
      <c r="J441" s="1015"/>
      <c r="K441" s="288"/>
      <c r="L441" s="302"/>
      <c r="M441" s="302"/>
      <c r="N441" s="302"/>
    </row>
    <row r="442" spans="1:14" x14ac:dyDescent="0.25">
      <c r="A442" s="302"/>
      <c r="B442" s="302"/>
      <c r="C442" s="288"/>
      <c r="D442" s="288"/>
      <c r="E442" s="1242"/>
      <c r="F442" s="288"/>
      <c r="G442" s="288"/>
      <c r="H442" s="1015"/>
      <c r="I442" s="1015"/>
      <c r="J442" s="1015"/>
      <c r="K442" s="288"/>
      <c r="L442" s="302"/>
      <c r="M442" s="302"/>
      <c r="N442" s="302"/>
    </row>
    <row r="443" spans="1:14" x14ac:dyDescent="0.25">
      <c r="A443" s="302"/>
      <c r="B443" s="302"/>
      <c r="C443" s="288"/>
      <c r="D443" s="288"/>
      <c r="E443" s="1242"/>
      <c r="F443" s="288"/>
      <c r="G443" s="288"/>
      <c r="H443" s="1015"/>
      <c r="I443" s="1015"/>
      <c r="J443" s="1015"/>
      <c r="K443" s="288"/>
      <c r="L443" s="302"/>
      <c r="M443" s="302"/>
      <c r="N443" s="302"/>
    </row>
    <row r="444" spans="1:14" x14ac:dyDescent="0.25">
      <c r="A444" s="302"/>
      <c r="B444" s="302"/>
      <c r="C444" s="288"/>
      <c r="D444" s="288"/>
      <c r="E444" s="1242"/>
      <c r="F444" s="288"/>
      <c r="G444" s="288"/>
      <c r="H444" s="1015"/>
      <c r="I444" s="1015"/>
      <c r="J444" s="1015"/>
      <c r="K444" s="288"/>
      <c r="L444" s="302"/>
      <c r="M444" s="302"/>
      <c r="N444" s="302"/>
    </row>
    <row r="445" spans="1:14" x14ac:dyDescent="0.25">
      <c r="A445" s="302"/>
      <c r="B445" s="302"/>
      <c r="C445" s="288"/>
      <c r="D445" s="288"/>
      <c r="E445" s="1242"/>
      <c r="F445" s="288"/>
      <c r="G445" s="288"/>
      <c r="H445" s="1015"/>
      <c r="I445" s="1015"/>
      <c r="J445" s="1015"/>
      <c r="K445" s="288"/>
      <c r="L445" s="302"/>
      <c r="M445" s="302"/>
      <c r="N445" s="302"/>
    </row>
    <row r="446" spans="1:14" x14ac:dyDescent="0.25">
      <c r="A446" s="302"/>
      <c r="B446" s="302"/>
      <c r="C446" s="288"/>
      <c r="D446" s="288"/>
      <c r="E446" s="1242"/>
      <c r="F446" s="288"/>
      <c r="G446" s="288"/>
      <c r="H446" s="1015"/>
      <c r="I446" s="1015"/>
      <c r="J446" s="1015"/>
      <c r="K446" s="288"/>
      <c r="L446" s="302"/>
      <c r="M446" s="302"/>
      <c r="N446" s="302"/>
    </row>
    <row r="447" spans="1:14" x14ac:dyDescent="0.25">
      <c r="A447" s="302"/>
      <c r="B447" s="302"/>
      <c r="C447" s="288"/>
      <c r="D447" s="288"/>
      <c r="E447" s="1242"/>
      <c r="F447" s="288"/>
      <c r="G447" s="288"/>
      <c r="H447" s="1015"/>
      <c r="I447" s="1015"/>
      <c r="J447" s="1015"/>
      <c r="K447" s="288"/>
      <c r="L447" s="302"/>
      <c r="M447" s="302"/>
      <c r="N447" s="302"/>
    </row>
    <row r="448" spans="1:14" x14ac:dyDescent="0.25">
      <c r="A448" s="302"/>
      <c r="B448" s="302"/>
      <c r="C448" s="288"/>
      <c r="D448" s="288"/>
      <c r="E448" s="1242"/>
      <c r="F448" s="288"/>
      <c r="G448" s="288"/>
      <c r="H448" s="1015"/>
      <c r="I448" s="1015"/>
      <c r="J448" s="1015"/>
      <c r="K448" s="288"/>
      <c r="L448" s="302"/>
      <c r="M448" s="302"/>
      <c r="N448" s="302"/>
    </row>
    <row r="449" spans="1:14" x14ac:dyDescent="0.25">
      <c r="A449" s="302"/>
      <c r="B449" s="302"/>
      <c r="C449" s="288"/>
      <c r="D449" s="288"/>
      <c r="E449" s="1242"/>
      <c r="F449" s="288"/>
      <c r="G449" s="288"/>
      <c r="H449" s="1015"/>
      <c r="I449" s="1015"/>
      <c r="J449" s="1015"/>
      <c r="K449" s="288"/>
      <c r="L449" s="302"/>
      <c r="M449" s="302"/>
      <c r="N449" s="302"/>
    </row>
    <row r="450" spans="1:14" x14ac:dyDescent="0.25">
      <c r="A450" s="302"/>
      <c r="B450" s="302"/>
      <c r="C450" s="288"/>
      <c r="D450" s="288"/>
      <c r="E450" s="1242"/>
      <c r="F450" s="288"/>
      <c r="G450" s="288"/>
      <c r="H450" s="1015"/>
      <c r="I450" s="1015"/>
      <c r="J450" s="1015"/>
      <c r="K450" s="288"/>
      <c r="L450" s="302"/>
      <c r="M450" s="302"/>
      <c r="N450" s="302"/>
    </row>
    <row r="451" spans="1:14" x14ac:dyDescent="0.25">
      <c r="A451" s="302"/>
      <c r="B451" s="302"/>
      <c r="C451" s="288"/>
      <c r="D451" s="288"/>
      <c r="E451" s="1242"/>
      <c r="F451" s="288"/>
      <c r="G451" s="288"/>
      <c r="H451" s="1015"/>
      <c r="I451" s="1015"/>
      <c r="J451" s="1015"/>
      <c r="K451" s="288"/>
      <c r="L451" s="302"/>
      <c r="M451" s="302"/>
      <c r="N451" s="302"/>
    </row>
    <row r="452" spans="1:14" x14ac:dyDescent="0.25">
      <c r="A452" s="302"/>
      <c r="B452" s="302"/>
      <c r="C452" s="288"/>
      <c r="D452" s="288"/>
      <c r="E452" s="1242"/>
      <c r="F452" s="288"/>
      <c r="G452" s="288"/>
      <c r="H452" s="1015"/>
      <c r="I452" s="1015"/>
      <c r="J452" s="1015"/>
      <c r="K452" s="288"/>
      <c r="L452" s="302"/>
      <c r="M452" s="302"/>
      <c r="N452" s="302"/>
    </row>
    <row r="453" spans="1:14" x14ac:dyDescent="0.25">
      <c r="A453" s="302"/>
      <c r="B453" s="302"/>
      <c r="C453" s="288"/>
      <c r="D453" s="288"/>
      <c r="E453" s="1242"/>
      <c r="F453" s="288"/>
      <c r="G453" s="288"/>
      <c r="H453" s="1015"/>
      <c r="I453" s="1015"/>
      <c r="J453" s="1015"/>
      <c r="K453" s="288"/>
      <c r="L453" s="302"/>
      <c r="M453" s="302"/>
      <c r="N453" s="302"/>
    </row>
    <row r="454" spans="1:14" x14ac:dyDescent="0.25">
      <c r="A454" s="302"/>
      <c r="B454" s="302"/>
      <c r="C454" s="288"/>
      <c r="D454" s="288"/>
      <c r="E454" s="1242"/>
      <c r="F454" s="288"/>
      <c r="G454" s="288"/>
      <c r="H454" s="1015"/>
      <c r="I454" s="1015"/>
      <c r="J454" s="1015"/>
      <c r="K454" s="288"/>
      <c r="L454" s="302"/>
      <c r="M454" s="302"/>
      <c r="N454" s="302"/>
    </row>
    <row r="455" spans="1:14" x14ac:dyDescent="0.25">
      <c r="A455" s="302"/>
      <c r="B455" s="302"/>
      <c r="C455" s="288"/>
      <c r="D455" s="288"/>
      <c r="E455" s="1242"/>
      <c r="F455" s="288"/>
      <c r="G455" s="288"/>
      <c r="H455" s="1015"/>
      <c r="I455" s="1015"/>
      <c r="J455" s="1015"/>
      <c r="K455" s="288"/>
      <c r="L455" s="302"/>
      <c r="M455" s="302"/>
      <c r="N455" s="302"/>
    </row>
    <row r="456" spans="1:14" x14ac:dyDescent="0.25">
      <c r="A456" s="302"/>
      <c r="B456" s="302"/>
      <c r="C456" s="288"/>
      <c r="D456" s="288"/>
      <c r="E456" s="1242"/>
      <c r="F456" s="288"/>
      <c r="G456" s="288"/>
      <c r="H456" s="1015"/>
      <c r="I456" s="1015"/>
      <c r="J456" s="1015"/>
      <c r="K456" s="288"/>
      <c r="L456" s="302"/>
      <c r="M456" s="302"/>
      <c r="N456" s="302"/>
    </row>
    <row r="457" spans="1:14" x14ac:dyDescent="0.25">
      <c r="A457" s="302"/>
      <c r="B457" s="302"/>
      <c r="C457" s="288"/>
      <c r="D457" s="288"/>
      <c r="E457" s="1242"/>
      <c r="F457" s="288"/>
      <c r="G457" s="288"/>
      <c r="H457" s="1015"/>
      <c r="I457" s="1015"/>
      <c r="J457" s="1015"/>
      <c r="K457" s="288"/>
      <c r="L457" s="302"/>
      <c r="M457" s="302"/>
      <c r="N457" s="302"/>
    </row>
    <row r="458" spans="1:14" x14ac:dyDescent="0.25">
      <c r="A458" s="302"/>
      <c r="B458" s="302"/>
      <c r="C458" s="288"/>
      <c r="D458" s="288"/>
      <c r="E458" s="1242"/>
      <c r="F458" s="288"/>
      <c r="G458" s="288"/>
      <c r="H458" s="1015"/>
      <c r="I458" s="1015"/>
      <c r="J458" s="1015"/>
      <c r="K458" s="288"/>
      <c r="L458" s="302"/>
      <c r="M458" s="302"/>
      <c r="N458" s="302"/>
    </row>
    <row r="459" spans="1:14" x14ac:dyDescent="0.25">
      <c r="A459" s="302"/>
      <c r="B459" s="302"/>
      <c r="C459" s="288"/>
      <c r="D459" s="288"/>
      <c r="E459" s="1242"/>
      <c r="F459" s="288"/>
      <c r="G459" s="288"/>
      <c r="H459" s="1015"/>
      <c r="I459" s="1015"/>
      <c r="J459" s="1015"/>
      <c r="K459" s="288"/>
      <c r="L459" s="302"/>
      <c r="M459" s="302"/>
      <c r="N459" s="302"/>
    </row>
    <row r="460" spans="1:14" x14ac:dyDescent="0.25">
      <c r="A460" s="302"/>
      <c r="B460" s="302"/>
      <c r="C460" s="288"/>
      <c r="D460" s="288"/>
      <c r="E460" s="1242"/>
      <c r="F460" s="288"/>
      <c r="G460" s="288"/>
      <c r="H460" s="1015"/>
      <c r="I460" s="1015"/>
      <c r="J460" s="1015"/>
      <c r="K460" s="288"/>
      <c r="L460" s="302"/>
      <c r="M460" s="302"/>
      <c r="N460" s="302"/>
    </row>
    <row r="461" spans="1:14" x14ac:dyDescent="0.25">
      <c r="A461" s="302"/>
      <c r="B461" s="302"/>
      <c r="C461" s="288"/>
      <c r="D461" s="288"/>
      <c r="E461" s="1242"/>
      <c r="F461" s="288"/>
      <c r="G461" s="288"/>
      <c r="H461" s="1015"/>
      <c r="I461" s="1015"/>
      <c r="J461" s="1015"/>
      <c r="K461" s="288"/>
      <c r="L461" s="302"/>
      <c r="M461" s="302"/>
      <c r="N461" s="302"/>
    </row>
    <row r="462" spans="1:14" x14ac:dyDescent="0.25">
      <c r="A462" s="302"/>
      <c r="B462" s="302"/>
      <c r="C462" s="288"/>
      <c r="D462" s="288"/>
      <c r="E462" s="1242"/>
      <c r="F462" s="288"/>
      <c r="G462" s="288"/>
      <c r="H462" s="1015"/>
      <c r="I462" s="1015"/>
      <c r="J462" s="1015"/>
      <c r="K462" s="288"/>
      <c r="L462" s="302"/>
      <c r="M462" s="302"/>
      <c r="N462" s="302"/>
    </row>
    <row r="463" spans="1:14" x14ac:dyDescent="0.25">
      <c r="A463" s="302"/>
      <c r="B463" s="302"/>
      <c r="C463" s="288"/>
      <c r="D463" s="288"/>
      <c r="E463" s="1242"/>
      <c r="F463" s="288"/>
      <c r="G463" s="288"/>
      <c r="H463" s="1015"/>
      <c r="I463" s="1015"/>
      <c r="J463" s="1015"/>
      <c r="K463" s="288"/>
      <c r="L463" s="302"/>
      <c r="M463" s="302"/>
      <c r="N463" s="302"/>
    </row>
    <row r="464" spans="1:14" x14ac:dyDescent="0.25">
      <c r="A464" s="302"/>
      <c r="B464" s="302"/>
      <c r="C464" s="288"/>
      <c r="D464" s="288"/>
      <c r="E464" s="1242"/>
      <c r="F464" s="288"/>
      <c r="G464" s="288"/>
      <c r="H464" s="1015"/>
      <c r="I464" s="1015"/>
      <c r="J464" s="1015"/>
      <c r="K464" s="288"/>
      <c r="L464" s="302"/>
      <c r="M464" s="302"/>
      <c r="N464" s="302"/>
    </row>
    <row r="465" spans="1:14" x14ac:dyDescent="0.25">
      <c r="A465" s="302"/>
      <c r="B465" s="302"/>
      <c r="C465" s="288"/>
      <c r="D465" s="288"/>
      <c r="E465" s="1242"/>
      <c r="F465" s="288"/>
      <c r="G465" s="288"/>
      <c r="H465" s="1015"/>
      <c r="I465" s="1015"/>
      <c r="J465" s="1015"/>
      <c r="K465" s="288"/>
      <c r="L465" s="302"/>
      <c r="M465" s="302"/>
      <c r="N465" s="302"/>
    </row>
    <row r="466" spans="1:14" x14ac:dyDescent="0.25">
      <c r="A466" s="302"/>
      <c r="B466" s="302"/>
      <c r="C466" s="288"/>
      <c r="D466" s="288"/>
      <c r="E466" s="1242"/>
      <c r="F466" s="288"/>
      <c r="G466" s="288"/>
      <c r="H466" s="1015"/>
      <c r="I466" s="1015"/>
      <c r="J466" s="1015"/>
      <c r="K466" s="288"/>
      <c r="L466" s="302"/>
      <c r="M466" s="302"/>
      <c r="N466" s="302"/>
    </row>
    <row r="467" spans="1:14" x14ac:dyDescent="0.25">
      <c r="A467" s="302"/>
      <c r="B467" s="302"/>
      <c r="C467" s="288"/>
      <c r="D467" s="288"/>
      <c r="E467" s="1242"/>
      <c r="F467" s="288"/>
      <c r="G467" s="288"/>
      <c r="H467" s="1015"/>
      <c r="I467" s="1015"/>
      <c r="J467" s="1015"/>
      <c r="K467" s="288"/>
      <c r="L467" s="302"/>
      <c r="M467" s="302"/>
      <c r="N467" s="302"/>
    </row>
    <row r="468" spans="1:14" x14ac:dyDescent="0.25">
      <c r="A468" s="302"/>
      <c r="B468" s="302"/>
      <c r="C468" s="288"/>
      <c r="D468" s="288"/>
      <c r="E468" s="1242"/>
      <c r="F468" s="288"/>
      <c r="G468" s="288"/>
      <c r="H468" s="1015"/>
      <c r="I468" s="1015"/>
      <c r="J468" s="1015"/>
      <c r="K468" s="288"/>
      <c r="L468" s="302"/>
      <c r="M468" s="302"/>
      <c r="N468" s="302"/>
    </row>
    <row r="469" spans="1:14" x14ac:dyDescent="0.25">
      <c r="A469" s="302"/>
      <c r="B469" s="302"/>
      <c r="C469" s="288"/>
      <c r="D469" s="288"/>
      <c r="E469" s="1242"/>
      <c r="F469" s="288"/>
      <c r="G469" s="288"/>
      <c r="H469" s="1015"/>
      <c r="I469" s="1015"/>
      <c r="J469" s="1015"/>
      <c r="K469" s="288"/>
      <c r="L469" s="302"/>
      <c r="M469" s="302"/>
      <c r="N469" s="302"/>
    </row>
    <row r="470" spans="1:14" x14ac:dyDescent="0.25">
      <c r="A470" s="302"/>
      <c r="B470" s="302"/>
      <c r="C470" s="288"/>
      <c r="D470" s="288"/>
      <c r="E470" s="1242"/>
      <c r="F470" s="288"/>
      <c r="G470" s="288"/>
      <c r="H470" s="1015"/>
      <c r="I470" s="1015"/>
      <c r="J470" s="1015"/>
      <c r="K470" s="288"/>
      <c r="L470" s="302"/>
      <c r="M470" s="302"/>
      <c r="N470" s="302"/>
    </row>
    <row r="471" spans="1:14" x14ac:dyDescent="0.25">
      <c r="A471" s="302"/>
      <c r="B471" s="302"/>
      <c r="C471" s="288"/>
      <c r="D471" s="288"/>
      <c r="E471" s="1242"/>
      <c r="F471" s="288"/>
      <c r="G471" s="288"/>
      <c r="H471" s="1015"/>
      <c r="I471" s="1015"/>
      <c r="J471" s="1015"/>
      <c r="K471" s="288"/>
      <c r="L471" s="302"/>
      <c r="M471" s="302"/>
      <c r="N471" s="302"/>
    </row>
    <row r="472" spans="1:14" x14ac:dyDescent="0.25">
      <c r="A472" s="302"/>
      <c r="B472" s="302"/>
      <c r="C472" s="288"/>
      <c r="D472" s="288"/>
      <c r="E472" s="1242"/>
      <c r="F472" s="288"/>
      <c r="G472" s="288"/>
      <c r="H472" s="1015"/>
      <c r="I472" s="1015"/>
      <c r="J472" s="1015"/>
      <c r="K472" s="288"/>
      <c r="L472" s="302"/>
      <c r="M472" s="302"/>
      <c r="N472" s="302"/>
    </row>
    <row r="473" spans="1:14" x14ac:dyDescent="0.25">
      <c r="A473" s="302"/>
      <c r="B473" s="302"/>
      <c r="C473" s="288"/>
      <c r="D473" s="288"/>
      <c r="E473" s="1242"/>
      <c r="F473" s="288"/>
      <c r="G473" s="288"/>
      <c r="H473" s="1015"/>
      <c r="I473" s="1015"/>
      <c r="J473" s="1015"/>
      <c r="K473" s="288"/>
      <c r="L473" s="302"/>
      <c r="M473" s="302"/>
      <c r="N473" s="302"/>
    </row>
    <row r="474" spans="1:14" x14ac:dyDescent="0.25">
      <c r="A474" s="302"/>
      <c r="B474" s="302"/>
      <c r="C474" s="288"/>
      <c r="D474" s="288"/>
      <c r="E474" s="1242"/>
      <c r="F474" s="288"/>
      <c r="G474" s="288"/>
      <c r="H474" s="1015"/>
      <c r="I474" s="1015"/>
      <c r="J474" s="1015"/>
      <c r="K474" s="288"/>
      <c r="L474" s="302"/>
      <c r="M474" s="302"/>
      <c r="N474" s="302"/>
    </row>
    <row r="475" spans="1:14" x14ac:dyDescent="0.25">
      <c r="A475" s="302"/>
      <c r="B475" s="302"/>
      <c r="C475" s="288"/>
      <c r="D475" s="288"/>
      <c r="E475" s="1242"/>
      <c r="F475" s="288"/>
      <c r="G475" s="288"/>
      <c r="H475" s="1015"/>
      <c r="I475" s="1015"/>
      <c r="J475" s="1015"/>
      <c r="K475" s="288"/>
      <c r="L475" s="302"/>
      <c r="M475" s="302"/>
      <c r="N475" s="302"/>
    </row>
    <row r="476" spans="1:14" x14ac:dyDescent="0.25">
      <c r="A476" s="302"/>
      <c r="B476" s="302"/>
      <c r="C476" s="288"/>
      <c r="D476" s="288"/>
      <c r="E476" s="1242"/>
      <c r="F476" s="288"/>
      <c r="G476" s="288"/>
      <c r="H476" s="1015"/>
      <c r="I476" s="1015"/>
      <c r="J476" s="1015"/>
      <c r="K476" s="288"/>
      <c r="L476" s="302"/>
      <c r="M476" s="302"/>
      <c r="N476" s="302"/>
    </row>
    <row r="477" spans="1:14" x14ac:dyDescent="0.25">
      <c r="A477" s="302"/>
      <c r="B477" s="302"/>
      <c r="C477" s="288"/>
      <c r="D477" s="288"/>
      <c r="E477" s="1242"/>
      <c r="F477" s="288"/>
      <c r="G477" s="288"/>
      <c r="H477" s="1015"/>
      <c r="I477" s="1015"/>
      <c r="J477" s="1015"/>
      <c r="K477" s="288"/>
      <c r="L477" s="302"/>
      <c r="M477" s="302"/>
      <c r="N477" s="302"/>
    </row>
    <row r="478" spans="1:14" x14ac:dyDescent="0.25">
      <c r="A478" s="302"/>
      <c r="B478" s="302"/>
      <c r="C478" s="288"/>
      <c r="D478" s="288"/>
      <c r="E478" s="1242"/>
      <c r="F478" s="288"/>
      <c r="G478" s="288"/>
      <c r="H478" s="1015"/>
      <c r="I478" s="1015"/>
      <c r="J478" s="1015"/>
      <c r="K478" s="288"/>
      <c r="L478" s="302"/>
      <c r="M478" s="302"/>
      <c r="N478" s="302"/>
    </row>
    <row r="479" spans="1:14" x14ac:dyDescent="0.25">
      <c r="A479" s="302"/>
      <c r="B479" s="302"/>
      <c r="C479" s="288"/>
      <c r="D479" s="288"/>
      <c r="E479" s="1242"/>
      <c r="F479" s="288"/>
      <c r="G479" s="288"/>
      <c r="H479" s="1015"/>
      <c r="I479" s="1015"/>
      <c r="J479" s="1015"/>
      <c r="K479" s="288"/>
      <c r="L479" s="302"/>
      <c r="M479" s="302"/>
      <c r="N479" s="302"/>
    </row>
    <row r="480" spans="1:14" x14ac:dyDescent="0.25">
      <c r="A480" s="302"/>
      <c r="B480" s="302"/>
      <c r="C480" s="288"/>
      <c r="D480" s="288"/>
      <c r="E480" s="1242"/>
      <c r="F480" s="288"/>
      <c r="G480" s="288"/>
      <c r="H480" s="1015"/>
      <c r="I480" s="1015"/>
      <c r="J480" s="1015"/>
      <c r="K480" s="288"/>
      <c r="L480" s="302"/>
      <c r="M480" s="302"/>
      <c r="N480" s="302"/>
    </row>
    <row r="481" spans="1:14" x14ac:dyDescent="0.25">
      <c r="A481" s="302"/>
      <c r="B481" s="302"/>
      <c r="C481" s="288"/>
      <c r="D481" s="288"/>
      <c r="E481" s="1242"/>
      <c r="F481" s="288"/>
      <c r="G481" s="288"/>
      <c r="H481" s="1015"/>
      <c r="I481" s="1015"/>
      <c r="J481" s="1015"/>
      <c r="K481" s="288"/>
      <c r="L481" s="302"/>
      <c r="M481" s="302"/>
      <c r="N481" s="302"/>
    </row>
    <row r="482" spans="1:14" x14ac:dyDescent="0.25">
      <c r="A482" s="302"/>
      <c r="B482" s="302"/>
      <c r="C482" s="288"/>
      <c r="D482" s="288"/>
      <c r="E482" s="1242"/>
      <c r="F482" s="288"/>
      <c r="G482" s="288"/>
      <c r="H482" s="1015"/>
      <c r="I482" s="1015"/>
      <c r="J482" s="1015"/>
      <c r="K482" s="288"/>
      <c r="L482" s="302"/>
      <c r="M482" s="302"/>
      <c r="N482" s="302"/>
    </row>
    <row r="483" spans="1:14" x14ac:dyDescent="0.25">
      <c r="A483" s="302"/>
      <c r="B483" s="302"/>
      <c r="C483" s="288"/>
      <c r="D483" s="288"/>
      <c r="E483" s="1242"/>
      <c r="F483" s="288"/>
      <c r="G483" s="288"/>
      <c r="H483" s="1015"/>
      <c r="I483" s="1015"/>
      <c r="J483" s="1015"/>
      <c r="K483" s="288"/>
      <c r="L483" s="302"/>
      <c r="M483" s="302"/>
      <c r="N483" s="302"/>
    </row>
    <row r="484" spans="1:14" x14ac:dyDescent="0.25">
      <c r="A484" s="302"/>
      <c r="B484" s="302"/>
      <c r="C484" s="288"/>
      <c r="D484" s="288"/>
      <c r="E484" s="1242"/>
      <c r="F484" s="288"/>
      <c r="G484" s="288"/>
      <c r="H484" s="1015"/>
      <c r="I484" s="1015"/>
      <c r="J484" s="1015"/>
      <c r="K484" s="288"/>
      <c r="L484" s="302"/>
      <c r="M484" s="302"/>
      <c r="N484" s="302"/>
    </row>
    <row r="485" spans="1:14" x14ac:dyDescent="0.25">
      <c r="A485" s="302"/>
      <c r="B485" s="302"/>
      <c r="C485" s="288"/>
      <c r="D485" s="288"/>
      <c r="E485" s="1242"/>
      <c r="F485" s="288"/>
      <c r="G485" s="288"/>
      <c r="H485" s="1015"/>
      <c r="I485" s="1015"/>
      <c r="J485" s="1015"/>
      <c r="K485" s="288"/>
      <c r="L485" s="302"/>
      <c r="M485" s="302"/>
      <c r="N485" s="302"/>
    </row>
    <row r="486" spans="1:14" x14ac:dyDescent="0.25">
      <c r="A486" s="302"/>
      <c r="B486" s="302"/>
      <c r="C486" s="288"/>
      <c r="D486" s="288"/>
      <c r="E486" s="1242"/>
      <c r="F486" s="288"/>
      <c r="G486" s="288"/>
      <c r="H486" s="1015"/>
      <c r="I486" s="1015"/>
      <c r="J486" s="1015"/>
      <c r="K486" s="288"/>
      <c r="L486" s="302"/>
      <c r="M486" s="302"/>
      <c r="N486" s="302"/>
    </row>
    <row r="487" spans="1:14" x14ac:dyDescent="0.25">
      <c r="A487" s="302"/>
      <c r="B487" s="302"/>
      <c r="C487" s="288"/>
      <c r="D487" s="288"/>
      <c r="E487" s="1242"/>
      <c r="F487" s="288"/>
      <c r="G487" s="288"/>
      <c r="H487" s="1015"/>
      <c r="I487" s="1015"/>
      <c r="J487" s="1015"/>
      <c r="K487" s="288"/>
      <c r="L487" s="302"/>
      <c r="M487" s="302"/>
      <c r="N487" s="302"/>
    </row>
    <row r="488" spans="1:14" x14ac:dyDescent="0.25">
      <c r="A488" s="302"/>
      <c r="B488" s="302"/>
      <c r="C488" s="288"/>
      <c r="D488" s="288"/>
      <c r="E488" s="1242"/>
      <c r="F488" s="288"/>
      <c r="G488" s="288"/>
      <c r="H488" s="1015"/>
      <c r="I488" s="1015"/>
      <c r="J488" s="1015"/>
      <c r="K488" s="288"/>
      <c r="L488" s="302"/>
      <c r="M488" s="302"/>
      <c r="N488" s="302"/>
    </row>
    <row r="489" spans="1:14" x14ac:dyDescent="0.25">
      <c r="A489" s="302"/>
      <c r="B489" s="302"/>
      <c r="C489" s="288"/>
      <c r="D489" s="288"/>
      <c r="E489" s="1242"/>
      <c r="F489" s="288"/>
      <c r="G489" s="288"/>
      <c r="H489" s="1015"/>
      <c r="I489" s="1015"/>
      <c r="J489" s="1015"/>
      <c r="K489" s="288"/>
      <c r="L489" s="302"/>
      <c r="M489" s="302"/>
      <c r="N489" s="302"/>
    </row>
    <row r="490" spans="1:14" x14ac:dyDescent="0.25">
      <c r="A490" s="302"/>
      <c r="B490" s="302"/>
      <c r="C490" s="288"/>
      <c r="D490" s="288"/>
      <c r="E490" s="1242"/>
      <c r="F490" s="288"/>
      <c r="G490" s="288"/>
      <c r="H490" s="1015"/>
      <c r="I490" s="1015"/>
      <c r="J490" s="1015"/>
      <c r="K490" s="288"/>
      <c r="L490" s="302"/>
      <c r="M490" s="302"/>
      <c r="N490" s="302"/>
    </row>
    <row r="491" spans="1:14" x14ac:dyDescent="0.25">
      <c r="A491" s="302"/>
      <c r="B491" s="302"/>
      <c r="C491" s="288"/>
      <c r="D491" s="288"/>
      <c r="E491" s="1242"/>
      <c r="F491" s="288"/>
      <c r="G491" s="288"/>
      <c r="H491" s="1015"/>
      <c r="I491" s="1015"/>
      <c r="J491" s="1015"/>
      <c r="K491" s="288"/>
      <c r="L491" s="302"/>
      <c r="M491" s="302"/>
      <c r="N491" s="302"/>
    </row>
    <row r="492" spans="1:14" x14ac:dyDescent="0.25">
      <c r="A492" s="302"/>
      <c r="B492" s="302"/>
      <c r="C492" s="288"/>
      <c r="D492" s="288"/>
      <c r="E492" s="1242"/>
      <c r="F492" s="288"/>
      <c r="G492" s="288"/>
      <c r="H492" s="1015"/>
      <c r="I492" s="1015"/>
      <c r="J492" s="1015"/>
      <c r="K492" s="288"/>
      <c r="L492" s="302"/>
      <c r="M492" s="302"/>
      <c r="N492" s="302"/>
    </row>
    <row r="493" spans="1:14" x14ac:dyDescent="0.25">
      <c r="A493" s="302"/>
      <c r="B493" s="302"/>
      <c r="C493" s="288"/>
      <c r="D493" s="288"/>
      <c r="E493" s="1242"/>
      <c r="F493" s="288"/>
      <c r="G493" s="288"/>
      <c r="H493" s="1015"/>
      <c r="I493" s="1015"/>
      <c r="J493" s="1015"/>
      <c r="K493" s="288"/>
      <c r="L493" s="302"/>
      <c r="M493" s="302"/>
      <c r="N493" s="302"/>
    </row>
    <row r="494" spans="1:14" x14ac:dyDescent="0.25">
      <c r="A494" s="302"/>
      <c r="B494" s="302"/>
      <c r="C494" s="288"/>
      <c r="D494" s="288"/>
      <c r="E494" s="1242"/>
      <c r="F494" s="288"/>
      <c r="G494" s="288"/>
      <c r="H494" s="1015"/>
      <c r="I494" s="1015"/>
      <c r="J494" s="1015"/>
      <c r="K494" s="288"/>
      <c r="L494" s="302"/>
      <c r="M494" s="302"/>
      <c r="N494" s="302"/>
    </row>
    <row r="495" spans="1:14" x14ac:dyDescent="0.25">
      <c r="A495" s="302"/>
      <c r="B495" s="302"/>
      <c r="C495" s="288"/>
      <c r="D495" s="288"/>
      <c r="E495" s="1242"/>
      <c r="F495" s="288"/>
      <c r="G495" s="288"/>
      <c r="H495" s="1015"/>
      <c r="I495" s="1015"/>
      <c r="J495" s="1015"/>
      <c r="K495" s="288"/>
      <c r="L495" s="302"/>
      <c r="M495" s="302"/>
      <c r="N495" s="302"/>
    </row>
    <row r="496" spans="1:14" x14ac:dyDescent="0.25">
      <c r="A496" s="302"/>
      <c r="B496" s="302"/>
      <c r="C496" s="288"/>
      <c r="D496" s="288"/>
      <c r="E496" s="1242"/>
      <c r="F496" s="288"/>
      <c r="G496" s="288"/>
      <c r="H496" s="1015"/>
      <c r="I496" s="1015"/>
      <c r="J496" s="1015"/>
      <c r="K496" s="288"/>
      <c r="L496" s="302"/>
      <c r="M496" s="302"/>
      <c r="N496" s="302"/>
    </row>
    <row r="497" spans="1:14" x14ac:dyDescent="0.25">
      <c r="A497" s="302"/>
      <c r="B497" s="302"/>
      <c r="C497" s="288"/>
      <c r="D497" s="288"/>
      <c r="E497" s="1242"/>
      <c r="F497" s="288"/>
      <c r="G497" s="288"/>
      <c r="H497" s="1015"/>
      <c r="I497" s="1015"/>
      <c r="J497" s="1015"/>
      <c r="K497" s="288"/>
      <c r="L497" s="302"/>
      <c r="M497" s="302"/>
      <c r="N497" s="302"/>
    </row>
    <row r="498" spans="1:14" x14ac:dyDescent="0.25">
      <c r="A498" s="302"/>
      <c r="B498" s="302"/>
      <c r="C498" s="288"/>
      <c r="D498" s="288"/>
      <c r="E498" s="1242"/>
      <c r="F498" s="288"/>
      <c r="G498" s="288"/>
      <c r="H498" s="1015"/>
      <c r="I498" s="1015"/>
      <c r="J498" s="1015"/>
      <c r="K498" s="288"/>
      <c r="L498" s="302"/>
      <c r="M498" s="302"/>
      <c r="N498" s="302"/>
    </row>
    <row r="499" spans="1:14" x14ac:dyDescent="0.25">
      <c r="A499" s="302"/>
      <c r="B499" s="302"/>
      <c r="C499" s="288"/>
      <c r="D499" s="288"/>
      <c r="E499" s="1242"/>
      <c r="F499" s="288"/>
      <c r="G499" s="288"/>
      <c r="H499" s="1015"/>
      <c r="I499" s="1015"/>
      <c r="J499" s="1015"/>
      <c r="K499" s="288"/>
      <c r="L499" s="302"/>
      <c r="M499" s="302"/>
      <c r="N499" s="302"/>
    </row>
    <row r="500" spans="1:14" x14ac:dyDescent="0.25">
      <c r="A500" s="302"/>
      <c r="B500" s="302"/>
      <c r="C500" s="288"/>
      <c r="D500" s="288"/>
      <c r="E500" s="1242"/>
      <c r="F500" s="288"/>
      <c r="G500" s="288"/>
      <c r="H500" s="1015"/>
      <c r="I500" s="1015"/>
      <c r="J500" s="1015"/>
      <c r="K500" s="288"/>
      <c r="L500" s="302"/>
      <c r="M500" s="302"/>
      <c r="N500" s="302"/>
    </row>
    <row r="501" spans="1:14" x14ac:dyDescent="0.25">
      <c r="A501" s="302"/>
      <c r="B501" s="302"/>
      <c r="C501" s="288"/>
      <c r="D501" s="288"/>
      <c r="E501" s="1242"/>
      <c r="F501" s="288"/>
      <c r="G501" s="288"/>
      <c r="H501" s="1015"/>
      <c r="I501" s="1015"/>
      <c r="J501" s="1015"/>
      <c r="K501" s="288"/>
      <c r="L501" s="302"/>
      <c r="M501" s="302"/>
      <c r="N501" s="302"/>
    </row>
    <row r="502" spans="1:14" x14ac:dyDescent="0.25">
      <c r="A502" s="302"/>
      <c r="B502" s="302"/>
      <c r="C502" s="288"/>
      <c r="D502" s="288"/>
      <c r="E502" s="1242"/>
      <c r="F502" s="288"/>
      <c r="G502" s="288"/>
      <c r="H502" s="1015"/>
      <c r="I502" s="1015"/>
      <c r="J502" s="1015"/>
      <c r="K502" s="288"/>
      <c r="L502" s="302"/>
      <c r="M502" s="302"/>
      <c r="N502" s="302"/>
    </row>
    <row r="503" spans="1:14" x14ac:dyDescent="0.25">
      <c r="A503" s="302"/>
      <c r="B503" s="302"/>
      <c r="C503" s="288"/>
      <c r="D503" s="288"/>
      <c r="E503" s="1242"/>
      <c r="F503" s="288"/>
      <c r="G503" s="288"/>
      <c r="H503" s="1015"/>
      <c r="I503" s="1015"/>
      <c r="J503" s="1015"/>
      <c r="K503" s="288"/>
      <c r="L503" s="302"/>
      <c r="M503" s="302"/>
      <c r="N503" s="302"/>
    </row>
    <row r="504" spans="1:14" x14ac:dyDescent="0.25">
      <c r="A504" s="302"/>
      <c r="B504" s="302"/>
      <c r="C504" s="288"/>
      <c r="D504" s="288"/>
      <c r="E504" s="1242"/>
      <c r="F504" s="288"/>
      <c r="G504" s="288"/>
      <c r="H504" s="1015"/>
      <c r="I504" s="1015"/>
      <c r="J504" s="1015"/>
      <c r="K504" s="288"/>
      <c r="L504" s="302"/>
      <c r="M504" s="302"/>
      <c r="N504" s="302"/>
    </row>
    <row r="505" spans="1:14" x14ac:dyDescent="0.25">
      <c r="A505" s="302"/>
      <c r="B505" s="302"/>
      <c r="C505" s="288"/>
      <c r="D505" s="288"/>
      <c r="E505" s="1242"/>
      <c r="F505" s="288"/>
      <c r="G505" s="288"/>
      <c r="H505" s="1015"/>
      <c r="I505" s="1015"/>
      <c r="J505" s="1015"/>
      <c r="K505" s="288"/>
      <c r="L505" s="302"/>
      <c r="M505" s="302"/>
      <c r="N505" s="302"/>
    </row>
    <row r="506" spans="1:14" x14ac:dyDescent="0.25">
      <c r="A506" s="302"/>
      <c r="B506" s="302"/>
      <c r="C506" s="288"/>
      <c r="D506" s="288"/>
      <c r="E506" s="1242"/>
      <c r="F506" s="288"/>
      <c r="G506" s="288"/>
      <c r="H506" s="1015"/>
      <c r="I506" s="1015"/>
      <c r="J506" s="1015"/>
      <c r="K506" s="288"/>
      <c r="L506" s="302"/>
      <c r="M506" s="302"/>
      <c r="N506" s="302"/>
    </row>
    <row r="507" spans="1:14" x14ac:dyDescent="0.25">
      <c r="A507" s="302"/>
      <c r="B507" s="302"/>
      <c r="C507" s="288"/>
      <c r="D507" s="288"/>
      <c r="E507" s="1242"/>
      <c r="F507" s="288"/>
      <c r="G507" s="288"/>
      <c r="H507" s="1015"/>
      <c r="I507" s="1015"/>
      <c r="J507" s="1015"/>
      <c r="K507" s="288"/>
      <c r="L507" s="302"/>
      <c r="M507" s="302"/>
      <c r="N507" s="302"/>
    </row>
    <row r="508" spans="1:14" x14ac:dyDescent="0.25">
      <c r="A508" s="302"/>
      <c r="B508" s="302"/>
      <c r="C508" s="288"/>
      <c r="D508" s="288"/>
      <c r="E508" s="1242"/>
      <c r="F508" s="288"/>
      <c r="G508" s="288"/>
      <c r="H508" s="1015"/>
      <c r="I508" s="1015"/>
      <c r="J508" s="1015"/>
      <c r="K508" s="288"/>
      <c r="L508" s="302"/>
      <c r="M508" s="302"/>
      <c r="N508" s="302"/>
    </row>
    <row r="509" spans="1:14" x14ac:dyDescent="0.25">
      <c r="A509" s="302"/>
      <c r="B509" s="302"/>
      <c r="C509" s="288"/>
      <c r="D509" s="288"/>
      <c r="E509" s="1242"/>
      <c r="F509" s="288"/>
      <c r="G509" s="288"/>
      <c r="H509" s="1015"/>
      <c r="I509" s="1015"/>
      <c r="J509" s="1015"/>
      <c r="K509" s="288"/>
      <c r="L509" s="302"/>
      <c r="M509" s="302"/>
      <c r="N509" s="302"/>
    </row>
    <row r="510" spans="1:14" x14ac:dyDescent="0.25">
      <c r="A510" s="302"/>
      <c r="B510" s="302"/>
      <c r="C510" s="288"/>
      <c r="D510" s="288"/>
      <c r="E510" s="1242"/>
      <c r="F510" s="288"/>
      <c r="G510" s="288"/>
      <c r="H510" s="1015"/>
      <c r="I510" s="1015"/>
      <c r="J510" s="1015"/>
      <c r="K510" s="288"/>
      <c r="L510" s="302"/>
      <c r="M510" s="302"/>
      <c r="N510" s="302"/>
    </row>
    <row r="511" spans="1:14" x14ac:dyDescent="0.25">
      <c r="A511" s="302"/>
      <c r="B511" s="302"/>
      <c r="C511" s="288"/>
      <c r="D511" s="288"/>
      <c r="E511" s="1242"/>
      <c r="F511" s="288"/>
      <c r="G511" s="288"/>
      <c r="H511" s="1015"/>
      <c r="I511" s="1015"/>
      <c r="J511" s="1015"/>
      <c r="K511" s="288"/>
      <c r="L511" s="302"/>
      <c r="M511" s="302"/>
      <c r="N511" s="302"/>
    </row>
    <row r="512" spans="1:14" x14ac:dyDescent="0.25">
      <c r="A512" s="302"/>
      <c r="B512" s="302"/>
      <c r="C512" s="288"/>
      <c r="D512" s="288"/>
      <c r="E512" s="1242"/>
      <c r="F512" s="288"/>
      <c r="G512" s="288"/>
      <c r="H512" s="1015"/>
      <c r="I512" s="1015"/>
      <c r="J512" s="1015"/>
      <c r="K512" s="288"/>
      <c r="L512" s="302"/>
      <c r="M512" s="302"/>
      <c r="N512" s="302"/>
    </row>
    <row r="513" spans="1:14" x14ac:dyDescent="0.25">
      <c r="A513" s="302"/>
      <c r="B513" s="302"/>
      <c r="C513" s="288"/>
      <c r="D513" s="288"/>
      <c r="E513" s="1242"/>
      <c r="F513" s="288"/>
      <c r="G513" s="288"/>
      <c r="H513" s="1015"/>
      <c r="I513" s="1015"/>
      <c r="J513" s="1015"/>
      <c r="K513" s="288"/>
      <c r="L513" s="302"/>
      <c r="M513" s="302"/>
      <c r="N513" s="302"/>
    </row>
    <row r="514" spans="1:14" x14ac:dyDescent="0.25">
      <c r="A514" s="302"/>
      <c r="B514" s="302"/>
      <c r="C514" s="288"/>
      <c r="D514" s="288"/>
      <c r="E514" s="1242"/>
      <c r="F514" s="288"/>
      <c r="G514" s="288"/>
      <c r="H514" s="1015"/>
      <c r="I514" s="1015"/>
      <c r="J514" s="1015"/>
      <c r="K514" s="288"/>
      <c r="L514" s="302"/>
      <c r="M514" s="302"/>
      <c r="N514" s="302"/>
    </row>
    <row r="515" spans="1:14" x14ac:dyDescent="0.25">
      <c r="A515" s="302"/>
      <c r="B515" s="302"/>
      <c r="C515" s="288"/>
      <c r="D515" s="288"/>
      <c r="E515" s="1242"/>
      <c r="F515" s="288"/>
      <c r="G515" s="288"/>
      <c r="H515" s="1015"/>
      <c r="I515" s="1015"/>
      <c r="J515" s="1015"/>
      <c r="K515" s="288"/>
      <c r="L515" s="302"/>
      <c r="M515" s="302"/>
      <c r="N515" s="302"/>
    </row>
    <row r="516" spans="1:14" x14ac:dyDescent="0.25">
      <c r="A516" s="302"/>
      <c r="B516" s="302"/>
      <c r="C516" s="288"/>
      <c r="D516" s="288"/>
      <c r="E516" s="1242"/>
      <c r="F516" s="288"/>
      <c r="G516" s="288"/>
      <c r="H516" s="1015"/>
      <c r="I516" s="1015"/>
      <c r="J516" s="1015"/>
      <c r="K516" s="288"/>
      <c r="L516" s="302"/>
      <c r="M516" s="302"/>
      <c r="N516" s="302"/>
    </row>
    <row r="517" spans="1:14" x14ac:dyDescent="0.25">
      <c r="A517" s="302"/>
      <c r="B517" s="302"/>
      <c r="C517" s="288"/>
      <c r="D517" s="288"/>
      <c r="E517" s="1242"/>
      <c r="F517" s="288"/>
      <c r="G517" s="288"/>
      <c r="H517" s="1015"/>
      <c r="I517" s="1015"/>
      <c r="J517" s="1015"/>
      <c r="K517" s="288"/>
      <c r="L517" s="302"/>
      <c r="M517" s="302"/>
      <c r="N517" s="302"/>
    </row>
    <row r="518" spans="1:14" x14ac:dyDescent="0.25">
      <c r="A518" s="302"/>
      <c r="B518" s="302"/>
      <c r="C518" s="288"/>
      <c r="D518" s="288"/>
      <c r="E518" s="1242"/>
      <c r="F518" s="288"/>
      <c r="G518" s="288"/>
      <c r="H518" s="1015"/>
      <c r="I518" s="1015"/>
      <c r="J518" s="1015"/>
      <c r="K518" s="288"/>
      <c r="L518" s="302"/>
      <c r="M518" s="302"/>
      <c r="N518" s="302"/>
    </row>
    <row r="519" spans="1:14" x14ac:dyDescent="0.25">
      <c r="A519" s="302"/>
      <c r="B519" s="302"/>
      <c r="C519" s="288"/>
      <c r="D519" s="288"/>
      <c r="E519" s="1242"/>
      <c r="F519" s="288"/>
      <c r="G519" s="288"/>
      <c r="H519" s="1015"/>
      <c r="I519" s="1015"/>
      <c r="J519" s="1015"/>
      <c r="K519" s="288"/>
      <c r="L519" s="302"/>
      <c r="M519" s="302"/>
      <c r="N519" s="302"/>
    </row>
    <row r="520" spans="1:14" x14ac:dyDescent="0.25">
      <c r="A520" s="302"/>
      <c r="B520" s="302"/>
      <c r="C520" s="288"/>
      <c r="D520" s="288"/>
      <c r="E520" s="1242"/>
      <c r="F520" s="288"/>
      <c r="G520" s="288"/>
      <c r="H520" s="1015"/>
      <c r="I520" s="1015"/>
      <c r="J520" s="1015"/>
      <c r="K520" s="288"/>
      <c r="L520" s="302"/>
      <c r="M520" s="302"/>
      <c r="N520" s="302"/>
    </row>
    <row r="521" spans="1:14" x14ac:dyDescent="0.25">
      <c r="A521" s="302"/>
      <c r="B521" s="302"/>
      <c r="C521" s="288"/>
      <c r="D521" s="288"/>
      <c r="E521" s="1242"/>
      <c r="F521" s="288"/>
      <c r="G521" s="288"/>
      <c r="H521" s="1015"/>
      <c r="I521" s="1015"/>
      <c r="J521" s="1015"/>
      <c r="K521" s="288"/>
      <c r="L521" s="302"/>
      <c r="M521" s="302"/>
      <c r="N521" s="302"/>
    </row>
    <row r="522" spans="1:14" x14ac:dyDescent="0.25">
      <c r="A522" s="302"/>
      <c r="B522" s="302"/>
      <c r="C522" s="288"/>
      <c r="D522" s="288"/>
      <c r="E522" s="1242"/>
      <c r="F522" s="288"/>
      <c r="G522" s="288"/>
      <c r="H522" s="1015"/>
      <c r="I522" s="1015"/>
      <c r="J522" s="1015"/>
      <c r="K522" s="288"/>
      <c r="L522" s="302"/>
      <c r="M522" s="302"/>
      <c r="N522" s="302"/>
    </row>
    <row r="523" spans="1:14" x14ac:dyDescent="0.25">
      <c r="A523" s="302"/>
      <c r="B523" s="302"/>
      <c r="C523" s="288"/>
      <c r="D523" s="288"/>
      <c r="E523" s="1242"/>
      <c r="F523" s="288"/>
      <c r="G523" s="288"/>
      <c r="H523" s="1015"/>
      <c r="I523" s="1015"/>
      <c r="J523" s="1015"/>
      <c r="K523" s="288"/>
      <c r="L523" s="302"/>
      <c r="M523" s="302"/>
      <c r="N523" s="302"/>
    </row>
    <row r="524" spans="1:14" x14ac:dyDescent="0.25">
      <c r="A524" s="302"/>
      <c r="B524" s="302"/>
      <c r="C524" s="288"/>
      <c r="D524" s="288"/>
      <c r="E524" s="1242"/>
      <c r="F524" s="288"/>
      <c r="G524" s="288"/>
      <c r="H524" s="1015"/>
      <c r="I524" s="1015"/>
      <c r="J524" s="1015"/>
      <c r="K524" s="288"/>
      <c r="L524" s="302"/>
      <c r="M524" s="302"/>
      <c r="N524" s="302"/>
    </row>
    <row r="525" spans="1:14" x14ac:dyDescent="0.25">
      <c r="A525" s="302"/>
      <c r="B525" s="302"/>
      <c r="C525" s="288"/>
      <c r="D525" s="288"/>
      <c r="E525" s="1242"/>
      <c r="F525" s="288"/>
      <c r="G525" s="288"/>
      <c r="H525" s="1015"/>
      <c r="I525" s="1015"/>
      <c r="J525" s="1015"/>
      <c r="K525" s="288"/>
      <c r="L525" s="302"/>
      <c r="M525" s="302"/>
      <c r="N525" s="302"/>
    </row>
    <row r="526" spans="1:14" x14ac:dyDescent="0.25">
      <c r="A526" s="302"/>
      <c r="B526" s="302"/>
      <c r="C526" s="288"/>
      <c r="D526" s="288"/>
      <c r="E526" s="1242"/>
      <c r="F526" s="288"/>
      <c r="G526" s="288"/>
      <c r="H526" s="1015"/>
      <c r="I526" s="1015"/>
      <c r="J526" s="1015"/>
      <c r="K526" s="288"/>
      <c r="L526" s="302"/>
      <c r="M526" s="302"/>
      <c r="N526" s="302"/>
    </row>
    <row r="527" spans="1:14" x14ac:dyDescent="0.25">
      <c r="A527" s="302"/>
      <c r="B527" s="302"/>
      <c r="C527" s="288"/>
      <c r="D527" s="288"/>
      <c r="E527" s="1242"/>
      <c r="F527" s="288"/>
      <c r="G527" s="288"/>
      <c r="H527" s="1015"/>
      <c r="I527" s="1015"/>
      <c r="J527" s="1015"/>
      <c r="K527" s="288"/>
      <c r="L527" s="302"/>
      <c r="M527" s="302"/>
      <c r="N527" s="302"/>
    </row>
    <row r="528" spans="1:14" x14ac:dyDescent="0.25">
      <c r="A528" s="302"/>
      <c r="B528" s="302"/>
      <c r="C528" s="288"/>
      <c r="D528" s="288"/>
      <c r="E528" s="1242"/>
      <c r="F528" s="288"/>
      <c r="G528" s="288"/>
      <c r="H528" s="1015"/>
      <c r="I528" s="1015"/>
      <c r="J528" s="1015"/>
      <c r="K528" s="288"/>
      <c r="L528" s="302"/>
      <c r="M528" s="302"/>
      <c r="N528" s="302"/>
    </row>
    <row r="529" spans="1:14" x14ac:dyDescent="0.25">
      <c r="A529" s="302"/>
      <c r="B529" s="302"/>
      <c r="C529" s="288"/>
      <c r="D529" s="288"/>
      <c r="E529" s="1242"/>
      <c r="F529" s="288"/>
      <c r="G529" s="288"/>
      <c r="H529" s="1015"/>
      <c r="I529" s="1015"/>
      <c r="J529" s="1015"/>
      <c r="K529" s="288"/>
      <c r="L529" s="302"/>
      <c r="M529" s="302"/>
      <c r="N529" s="302"/>
    </row>
    <row r="530" spans="1:14" x14ac:dyDescent="0.25">
      <c r="A530" s="302"/>
      <c r="B530" s="302"/>
      <c r="C530" s="288"/>
      <c r="D530" s="288"/>
      <c r="E530" s="1242"/>
      <c r="F530" s="288"/>
      <c r="G530" s="288"/>
      <c r="H530" s="1015"/>
      <c r="I530" s="1015"/>
      <c r="J530" s="1015"/>
      <c r="K530" s="288"/>
      <c r="L530" s="302"/>
      <c r="M530" s="302"/>
      <c r="N530" s="302"/>
    </row>
    <row r="531" spans="1:14" x14ac:dyDescent="0.25">
      <c r="A531" s="302"/>
      <c r="B531" s="302"/>
      <c r="C531" s="288"/>
      <c r="D531" s="288"/>
      <c r="E531" s="1242"/>
      <c r="F531" s="288"/>
      <c r="G531" s="288"/>
      <c r="H531" s="1015"/>
      <c r="I531" s="1015"/>
      <c r="J531" s="1015"/>
      <c r="K531" s="288"/>
      <c r="L531" s="302"/>
      <c r="M531" s="302"/>
      <c r="N531" s="302"/>
    </row>
    <row r="532" spans="1:14" x14ac:dyDescent="0.25">
      <c r="A532" s="302"/>
      <c r="B532" s="302"/>
      <c r="C532" s="288"/>
      <c r="D532" s="288"/>
      <c r="E532" s="1242"/>
      <c r="F532" s="288"/>
      <c r="G532" s="288"/>
      <c r="H532" s="1015"/>
      <c r="I532" s="1015"/>
      <c r="J532" s="1015"/>
      <c r="K532" s="288"/>
      <c r="L532" s="302"/>
      <c r="M532" s="302"/>
      <c r="N532" s="302"/>
    </row>
    <row r="533" spans="1:14" x14ac:dyDescent="0.25">
      <c r="A533" s="302"/>
      <c r="B533" s="302"/>
      <c r="C533" s="288"/>
      <c r="D533" s="288"/>
      <c r="E533" s="1242"/>
      <c r="F533" s="288"/>
      <c r="G533" s="288"/>
      <c r="H533" s="1015"/>
      <c r="I533" s="1015"/>
      <c r="J533" s="1015"/>
      <c r="K533" s="288"/>
      <c r="L533" s="302"/>
      <c r="M533" s="302"/>
      <c r="N533" s="302"/>
    </row>
    <row r="534" spans="1:14" x14ac:dyDescent="0.25">
      <c r="A534" s="302"/>
      <c r="B534" s="302"/>
      <c r="C534" s="288"/>
      <c r="D534" s="288"/>
      <c r="E534" s="1242"/>
      <c r="F534" s="288"/>
      <c r="G534" s="288"/>
      <c r="H534" s="1015"/>
      <c r="I534" s="1015"/>
      <c r="J534" s="1015"/>
      <c r="K534" s="288"/>
      <c r="L534" s="302"/>
      <c r="M534" s="302"/>
      <c r="N534" s="302"/>
    </row>
    <row r="535" spans="1:14" x14ac:dyDescent="0.25">
      <c r="A535" s="302"/>
      <c r="B535" s="302"/>
      <c r="C535" s="288"/>
      <c r="D535" s="288"/>
      <c r="E535" s="1242"/>
      <c r="F535" s="288"/>
      <c r="G535" s="288"/>
      <c r="H535" s="1015"/>
      <c r="I535" s="1015"/>
      <c r="J535" s="1015"/>
      <c r="K535" s="288"/>
      <c r="L535" s="302"/>
      <c r="M535" s="302"/>
      <c r="N535" s="302"/>
    </row>
    <row r="536" spans="1:14" x14ac:dyDescent="0.25">
      <c r="A536" s="302"/>
      <c r="B536" s="302"/>
      <c r="C536" s="288"/>
      <c r="D536" s="288"/>
      <c r="E536" s="1242"/>
      <c r="F536" s="288"/>
      <c r="G536" s="288"/>
      <c r="H536" s="1015"/>
      <c r="I536" s="1015"/>
      <c r="J536" s="1015"/>
      <c r="K536" s="288"/>
      <c r="L536" s="302"/>
      <c r="M536" s="302"/>
      <c r="N536" s="302"/>
    </row>
    <row r="537" spans="1:14" x14ac:dyDescent="0.25">
      <c r="A537" s="302"/>
      <c r="B537" s="302"/>
      <c r="C537" s="288"/>
      <c r="D537" s="288"/>
      <c r="E537" s="1242"/>
      <c r="F537" s="288"/>
      <c r="G537" s="288"/>
      <c r="H537" s="1015"/>
      <c r="I537" s="1015"/>
      <c r="J537" s="1015"/>
      <c r="K537" s="288"/>
      <c r="L537" s="302"/>
      <c r="M537" s="302"/>
      <c r="N537" s="302"/>
    </row>
    <row r="538" spans="1:14" x14ac:dyDescent="0.25">
      <c r="A538" s="302"/>
      <c r="B538" s="302"/>
      <c r="C538" s="288"/>
      <c r="D538" s="288"/>
      <c r="E538" s="1242"/>
      <c r="F538" s="288"/>
      <c r="G538" s="288"/>
      <c r="H538" s="1015"/>
      <c r="I538" s="1015"/>
      <c r="J538" s="1015"/>
      <c r="K538" s="288"/>
      <c r="L538" s="302"/>
      <c r="M538" s="302"/>
      <c r="N538" s="302"/>
    </row>
    <row r="539" spans="1:14" x14ac:dyDescent="0.25">
      <c r="A539" s="302"/>
      <c r="B539" s="302"/>
      <c r="C539" s="288"/>
      <c r="D539" s="288"/>
      <c r="E539" s="1242"/>
      <c r="F539" s="288"/>
      <c r="G539" s="288"/>
      <c r="H539" s="1015"/>
      <c r="I539" s="1015"/>
      <c r="J539" s="1015"/>
      <c r="K539" s="288"/>
      <c r="L539" s="302"/>
      <c r="M539" s="302"/>
      <c r="N539" s="302"/>
    </row>
    <row r="540" spans="1:14" x14ac:dyDescent="0.25">
      <c r="A540" s="302"/>
      <c r="B540" s="302"/>
      <c r="C540" s="288"/>
      <c r="D540" s="288"/>
      <c r="E540" s="1242"/>
      <c r="F540" s="288"/>
      <c r="G540" s="288"/>
      <c r="H540" s="1015"/>
      <c r="I540" s="1015"/>
      <c r="J540" s="1015"/>
      <c r="K540" s="288"/>
      <c r="L540" s="302"/>
      <c r="M540" s="302"/>
      <c r="N540" s="302"/>
    </row>
    <row r="541" spans="1:14" x14ac:dyDescent="0.25">
      <c r="A541" s="302"/>
      <c r="B541" s="302"/>
      <c r="C541" s="288"/>
      <c r="D541" s="288"/>
      <c r="E541" s="1242"/>
      <c r="F541" s="288"/>
      <c r="G541" s="288"/>
      <c r="H541" s="1015"/>
      <c r="I541" s="1015"/>
      <c r="J541" s="1015"/>
      <c r="K541" s="288"/>
      <c r="L541" s="302"/>
      <c r="M541" s="302"/>
      <c r="N541" s="302"/>
    </row>
    <row r="542" spans="1:14" x14ac:dyDescent="0.25">
      <c r="A542" s="302"/>
      <c r="B542" s="302"/>
      <c r="C542" s="288"/>
      <c r="D542" s="288"/>
      <c r="E542" s="1242"/>
      <c r="F542" s="288"/>
      <c r="G542" s="288"/>
      <c r="H542" s="1015"/>
      <c r="I542" s="1015"/>
      <c r="J542" s="1015"/>
      <c r="K542" s="288"/>
      <c r="L542" s="302"/>
      <c r="M542" s="302"/>
      <c r="N542" s="302"/>
    </row>
    <row r="543" spans="1:14" x14ac:dyDescent="0.25">
      <c r="A543" s="302"/>
      <c r="B543" s="302"/>
      <c r="C543" s="288"/>
      <c r="D543" s="288"/>
      <c r="E543" s="1242"/>
      <c r="F543" s="288"/>
      <c r="G543" s="288"/>
      <c r="H543" s="1015"/>
      <c r="I543" s="1015"/>
      <c r="J543" s="1015"/>
      <c r="K543" s="288"/>
      <c r="L543" s="302"/>
      <c r="M543" s="302"/>
      <c r="N543" s="302"/>
    </row>
    <row r="544" spans="1:14" x14ac:dyDescent="0.25">
      <c r="A544" s="302"/>
      <c r="B544" s="302"/>
      <c r="C544" s="288"/>
      <c r="D544" s="288"/>
      <c r="E544" s="1242"/>
      <c r="F544" s="288"/>
      <c r="G544" s="288"/>
      <c r="H544" s="1015"/>
      <c r="I544" s="1015"/>
      <c r="J544" s="1015"/>
      <c r="K544" s="288"/>
      <c r="L544" s="302"/>
      <c r="M544" s="302"/>
      <c r="N544" s="302"/>
    </row>
    <row r="545" spans="1:14" x14ac:dyDescent="0.25">
      <c r="A545" s="302"/>
      <c r="B545" s="302"/>
      <c r="C545" s="288"/>
      <c r="D545" s="288"/>
      <c r="E545" s="1242"/>
      <c r="F545" s="288"/>
      <c r="G545" s="288"/>
      <c r="H545" s="1015"/>
      <c r="I545" s="1015"/>
      <c r="J545" s="1015"/>
      <c r="K545" s="288"/>
      <c r="L545" s="302"/>
      <c r="M545" s="302"/>
      <c r="N545" s="302"/>
    </row>
    <row r="546" spans="1:14" x14ac:dyDescent="0.25">
      <c r="A546" s="302"/>
      <c r="B546" s="302"/>
      <c r="C546" s="288"/>
      <c r="D546" s="288"/>
      <c r="E546" s="1242"/>
      <c r="F546" s="288"/>
      <c r="G546" s="288"/>
      <c r="H546" s="1015"/>
      <c r="I546" s="1015"/>
      <c r="J546" s="1015"/>
      <c r="K546" s="288"/>
      <c r="L546" s="302"/>
      <c r="M546" s="302"/>
      <c r="N546" s="302"/>
    </row>
    <row r="547" spans="1:14" x14ac:dyDescent="0.25">
      <c r="A547" s="302"/>
      <c r="B547" s="302"/>
      <c r="C547" s="288"/>
      <c r="D547" s="288"/>
      <c r="E547" s="1242"/>
      <c r="F547" s="288"/>
      <c r="G547" s="288"/>
      <c r="H547" s="1015"/>
      <c r="I547" s="1015"/>
      <c r="J547" s="1015"/>
      <c r="K547" s="288"/>
      <c r="L547" s="302"/>
      <c r="M547" s="302"/>
      <c r="N547" s="302"/>
    </row>
    <row r="548" spans="1:14" x14ac:dyDescent="0.25">
      <c r="A548" s="302"/>
      <c r="B548" s="302"/>
      <c r="C548" s="288"/>
      <c r="D548" s="288"/>
      <c r="E548" s="1242"/>
      <c r="F548" s="288"/>
      <c r="G548" s="288"/>
      <c r="H548" s="1015"/>
      <c r="I548" s="1015"/>
      <c r="J548" s="1015"/>
      <c r="K548" s="288"/>
      <c r="L548" s="302"/>
      <c r="M548" s="302"/>
      <c r="N548" s="302"/>
    </row>
    <row r="549" spans="1:14" x14ac:dyDescent="0.25">
      <c r="A549" s="302"/>
      <c r="B549" s="302"/>
      <c r="C549" s="288"/>
      <c r="D549" s="288"/>
      <c r="E549" s="1242"/>
      <c r="F549" s="288"/>
      <c r="G549" s="288"/>
      <c r="H549" s="1015"/>
      <c r="I549" s="1015"/>
      <c r="J549" s="1015"/>
      <c r="K549" s="288"/>
      <c r="L549" s="302"/>
      <c r="M549" s="302"/>
      <c r="N549" s="302"/>
    </row>
    <row r="550" spans="1:14" x14ac:dyDescent="0.25">
      <c r="A550" s="302"/>
      <c r="B550" s="302"/>
      <c r="C550" s="288"/>
      <c r="D550" s="288"/>
      <c r="E550" s="1242"/>
      <c r="F550" s="288"/>
      <c r="G550" s="288"/>
      <c r="H550" s="1015"/>
      <c r="I550" s="1015"/>
      <c r="J550" s="1015"/>
      <c r="K550" s="288"/>
      <c r="L550" s="302"/>
      <c r="M550" s="302"/>
      <c r="N550" s="302"/>
    </row>
    <row r="551" spans="1:14" x14ac:dyDescent="0.25">
      <c r="A551" s="302"/>
      <c r="B551" s="302"/>
      <c r="C551" s="288"/>
      <c r="D551" s="288"/>
      <c r="E551" s="1242"/>
      <c r="F551" s="288"/>
      <c r="G551" s="288"/>
      <c r="H551" s="1015"/>
      <c r="I551" s="1015"/>
      <c r="J551" s="1015"/>
      <c r="K551" s="288"/>
      <c r="L551" s="302"/>
      <c r="M551" s="302"/>
      <c r="N551" s="302"/>
    </row>
    <row r="552" spans="1:14" x14ac:dyDescent="0.25">
      <c r="A552" s="302"/>
      <c r="B552" s="302"/>
      <c r="C552" s="288"/>
      <c r="D552" s="288"/>
      <c r="E552" s="1242"/>
      <c r="F552" s="288"/>
      <c r="G552" s="288"/>
      <c r="H552" s="1015"/>
      <c r="I552" s="1015"/>
      <c r="J552" s="1015"/>
      <c r="K552" s="288"/>
      <c r="L552" s="302"/>
      <c r="M552" s="302"/>
      <c r="N552" s="302"/>
    </row>
    <row r="553" spans="1:14" x14ac:dyDescent="0.25">
      <c r="A553" s="302"/>
      <c r="B553" s="302"/>
      <c r="C553" s="288"/>
      <c r="D553" s="288"/>
      <c r="E553" s="1242"/>
      <c r="F553" s="288"/>
      <c r="G553" s="288"/>
      <c r="H553" s="1015"/>
      <c r="I553" s="1015"/>
      <c r="J553" s="1015"/>
      <c r="K553" s="288"/>
      <c r="L553" s="302"/>
      <c r="M553" s="302"/>
      <c r="N553" s="302"/>
    </row>
    <row r="554" spans="1:14" x14ac:dyDescent="0.25">
      <c r="A554" s="302"/>
      <c r="B554" s="302"/>
      <c r="C554" s="288"/>
      <c r="D554" s="288"/>
      <c r="E554" s="1242"/>
      <c r="F554" s="288"/>
      <c r="G554" s="288"/>
      <c r="H554" s="1015"/>
      <c r="I554" s="1015"/>
      <c r="J554" s="1015"/>
      <c r="K554" s="288"/>
      <c r="L554" s="302"/>
      <c r="M554" s="302"/>
      <c r="N554" s="302"/>
    </row>
    <row r="555" spans="1:14" x14ac:dyDescent="0.25">
      <c r="A555" s="302"/>
      <c r="B555" s="302"/>
      <c r="C555" s="288"/>
      <c r="D555" s="288"/>
      <c r="E555" s="1242"/>
      <c r="F555" s="288"/>
      <c r="G555" s="288"/>
      <c r="H555" s="1015"/>
      <c r="I555" s="1015"/>
      <c r="J555" s="1015"/>
      <c r="K555" s="288"/>
      <c r="L555" s="302"/>
      <c r="M555" s="302"/>
      <c r="N555" s="302"/>
    </row>
    <row r="556" spans="1:14" x14ac:dyDescent="0.25">
      <c r="A556" s="302"/>
      <c r="B556" s="302"/>
      <c r="C556" s="288"/>
      <c r="D556" s="288"/>
      <c r="E556" s="1242"/>
      <c r="F556" s="288"/>
      <c r="G556" s="288"/>
      <c r="H556" s="1015"/>
      <c r="I556" s="1015"/>
      <c r="J556" s="1015"/>
      <c r="K556" s="288"/>
      <c r="L556" s="302"/>
      <c r="M556" s="302"/>
      <c r="N556" s="302"/>
    </row>
    <row r="557" spans="1:14" x14ac:dyDescent="0.25">
      <c r="A557" s="302"/>
      <c r="B557" s="302"/>
      <c r="C557" s="288"/>
      <c r="D557" s="288"/>
      <c r="E557" s="1242"/>
      <c r="F557" s="288"/>
      <c r="G557" s="288"/>
      <c r="H557" s="1015"/>
      <c r="I557" s="1015"/>
      <c r="J557" s="1015"/>
      <c r="K557" s="288"/>
      <c r="L557" s="302"/>
      <c r="M557" s="302"/>
      <c r="N557" s="302"/>
    </row>
    <row r="558" spans="1:14" x14ac:dyDescent="0.25">
      <c r="A558" s="302"/>
      <c r="B558" s="302"/>
      <c r="C558" s="288"/>
      <c r="D558" s="288"/>
      <c r="E558" s="1242"/>
      <c r="F558" s="288"/>
      <c r="G558" s="288"/>
      <c r="H558" s="1015"/>
      <c r="I558" s="1015"/>
      <c r="J558" s="1015"/>
      <c r="K558" s="288"/>
      <c r="L558" s="302"/>
      <c r="M558" s="302"/>
      <c r="N558" s="302"/>
    </row>
    <row r="559" spans="1:14" x14ac:dyDescent="0.25">
      <c r="A559" s="302"/>
      <c r="B559" s="302"/>
      <c r="C559" s="288"/>
      <c r="D559" s="288"/>
      <c r="E559" s="1242"/>
      <c r="F559" s="288"/>
      <c r="G559" s="288"/>
      <c r="H559" s="1015"/>
      <c r="I559" s="1015"/>
      <c r="J559" s="1015"/>
      <c r="K559" s="288"/>
      <c r="L559" s="302"/>
      <c r="M559" s="302"/>
      <c r="N559" s="302"/>
    </row>
    <row r="560" spans="1:14" x14ac:dyDescent="0.25">
      <c r="A560" s="302"/>
      <c r="B560" s="302"/>
      <c r="C560" s="288"/>
      <c r="D560" s="288"/>
      <c r="E560" s="1242"/>
      <c r="F560" s="288"/>
      <c r="G560" s="288"/>
      <c r="H560" s="1015"/>
      <c r="I560" s="1015"/>
      <c r="J560" s="1015"/>
      <c r="K560" s="288"/>
      <c r="L560" s="302"/>
      <c r="M560" s="302"/>
      <c r="N560" s="302"/>
    </row>
    <row r="561" spans="1:14" x14ac:dyDescent="0.25">
      <c r="A561" s="302"/>
      <c r="B561" s="302"/>
      <c r="C561" s="288"/>
      <c r="D561" s="288"/>
      <c r="E561" s="1242"/>
      <c r="F561" s="288"/>
      <c r="G561" s="288"/>
      <c r="H561" s="1015"/>
      <c r="I561" s="1015"/>
      <c r="J561" s="1015"/>
      <c r="K561" s="288"/>
      <c r="L561" s="302"/>
      <c r="M561" s="302"/>
      <c r="N561" s="302"/>
    </row>
    <row r="562" spans="1:14" x14ac:dyDescent="0.25">
      <c r="A562" s="302"/>
      <c r="B562" s="302"/>
      <c r="C562" s="288"/>
      <c r="D562" s="288"/>
      <c r="E562" s="1242"/>
      <c r="F562" s="288"/>
      <c r="G562" s="288"/>
      <c r="H562" s="1015"/>
      <c r="I562" s="1015"/>
      <c r="J562" s="1015"/>
      <c r="K562" s="288"/>
      <c r="L562" s="302"/>
      <c r="M562" s="302"/>
      <c r="N562" s="302"/>
    </row>
    <row r="563" spans="1:14" x14ac:dyDescent="0.25">
      <c r="A563" s="302"/>
      <c r="B563" s="302"/>
      <c r="C563" s="288"/>
      <c r="D563" s="288"/>
      <c r="E563" s="1242"/>
      <c r="F563" s="288"/>
      <c r="G563" s="288"/>
      <c r="H563" s="1015"/>
      <c r="I563" s="1015"/>
      <c r="J563" s="1015"/>
      <c r="K563" s="288"/>
      <c r="L563" s="302"/>
      <c r="M563" s="302"/>
      <c r="N563" s="302"/>
    </row>
    <row r="564" spans="1:14" x14ac:dyDescent="0.25">
      <c r="A564" s="302"/>
      <c r="B564" s="302"/>
      <c r="C564" s="288"/>
      <c r="D564" s="288"/>
      <c r="E564" s="1242"/>
      <c r="F564" s="288"/>
      <c r="G564" s="288"/>
      <c r="H564" s="1015"/>
      <c r="I564" s="1015"/>
      <c r="J564" s="1015"/>
      <c r="K564" s="288"/>
      <c r="L564" s="302"/>
      <c r="M564" s="302"/>
      <c r="N564" s="302"/>
    </row>
    <row r="565" spans="1:14" x14ac:dyDescent="0.25">
      <c r="A565" s="302"/>
      <c r="B565" s="302"/>
      <c r="C565" s="288"/>
      <c r="D565" s="288"/>
      <c r="E565" s="1242"/>
      <c r="F565" s="288"/>
      <c r="G565" s="288"/>
      <c r="H565" s="1015"/>
      <c r="I565" s="1015"/>
      <c r="J565" s="1015"/>
      <c r="K565" s="288"/>
      <c r="L565" s="302"/>
      <c r="M565" s="302"/>
      <c r="N565" s="302"/>
    </row>
    <row r="566" spans="1:14" x14ac:dyDescent="0.25">
      <c r="A566" s="302"/>
      <c r="B566" s="302"/>
      <c r="C566" s="288"/>
      <c r="D566" s="288"/>
      <c r="E566" s="1242"/>
      <c r="F566" s="288"/>
      <c r="G566" s="288"/>
      <c r="H566" s="1015"/>
      <c r="I566" s="1015"/>
      <c r="J566" s="1015"/>
      <c r="K566" s="288"/>
      <c r="L566" s="302"/>
      <c r="M566" s="302"/>
      <c r="N566" s="302"/>
    </row>
    <row r="567" spans="1:14" x14ac:dyDescent="0.25">
      <c r="A567" s="302"/>
      <c r="B567" s="302"/>
      <c r="C567" s="288"/>
      <c r="D567" s="288"/>
      <c r="E567" s="1242"/>
      <c r="F567" s="288"/>
      <c r="G567" s="288"/>
      <c r="H567" s="1015"/>
      <c r="I567" s="1015"/>
      <c r="J567" s="1015"/>
      <c r="K567" s="288"/>
      <c r="L567" s="302"/>
      <c r="M567" s="302"/>
      <c r="N567" s="302"/>
    </row>
    <row r="568" spans="1:14" x14ac:dyDescent="0.25">
      <c r="A568" s="302"/>
      <c r="B568" s="302"/>
      <c r="C568" s="288"/>
      <c r="D568" s="288"/>
      <c r="E568" s="1242"/>
      <c r="F568" s="288"/>
      <c r="G568" s="288"/>
      <c r="H568" s="1015"/>
      <c r="I568" s="1015"/>
      <c r="J568" s="1015"/>
      <c r="K568" s="288"/>
      <c r="L568" s="302"/>
      <c r="M568" s="302"/>
      <c r="N568" s="302"/>
    </row>
    <row r="569" spans="1:14" x14ac:dyDescent="0.25">
      <c r="A569" s="302"/>
      <c r="B569" s="302"/>
      <c r="C569" s="288"/>
      <c r="D569" s="288"/>
      <c r="E569" s="1242"/>
      <c r="F569" s="288"/>
      <c r="G569" s="288"/>
      <c r="H569" s="1015"/>
      <c r="I569" s="1015"/>
      <c r="J569" s="1015"/>
      <c r="K569" s="288"/>
      <c r="L569" s="302"/>
      <c r="M569" s="302"/>
      <c r="N569" s="302"/>
    </row>
    <row r="570" spans="1:14" x14ac:dyDescent="0.25">
      <c r="A570" s="302"/>
      <c r="B570" s="302"/>
      <c r="C570" s="288"/>
      <c r="D570" s="288"/>
      <c r="E570" s="1242"/>
      <c r="F570" s="288"/>
      <c r="G570" s="288"/>
      <c r="H570" s="1015"/>
      <c r="I570" s="1015"/>
      <c r="J570" s="1015"/>
      <c r="K570" s="288"/>
      <c r="L570" s="302"/>
      <c r="M570" s="302"/>
      <c r="N570" s="302"/>
    </row>
    <row r="571" spans="1:14" x14ac:dyDescent="0.25">
      <c r="A571" s="302"/>
      <c r="B571" s="302"/>
      <c r="C571" s="288"/>
      <c r="D571" s="288"/>
      <c r="E571" s="1242"/>
      <c r="F571" s="288"/>
      <c r="G571" s="288"/>
      <c r="H571" s="1015"/>
      <c r="I571" s="1015"/>
      <c r="J571" s="1015"/>
      <c r="K571" s="288"/>
      <c r="L571" s="302"/>
      <c r="M571" s="302"/>
      <c r="N571" s="302"/>
    </row>
    <row r="572" spans="1:14" x14ac:dyDescent="0.25">
      <c r="A572" s="302"/>
      <c r="B572" s="302"/>
      <c r="C572" s="288"/>
      <c r="D572" s="288"/>
      <c r="E572" s="1242"/>
      <c r="F572" s="288"/>
      <c r="G572" s="288"/>
      <c r="H572" s="1015"/>
      <c r="I572" s="1015"/>
      <c r="J572" s="1015"/>
      <c r="K572" s="288"/>
      <c r="L572" s="302"/>
      <c r="M572" s="302"/>
      <c r="N572" s="302"/>
    </row>
    <row r="573" spans="1:14" x14ac:dyDescent="0.25">
      <c r="A573" s="302"/>
      <c r="B573" s="302"/>
      <c r="C573" s="288"/>
      <c r="D573" s="288"/>
      <c r="E573" s="1242"/>
      <c r="F573" s="288"/>
      <c r="G573" s="288"/>
      <c r="H573" s="1015"/>
      <c r="I573" s="1015"/>
      <c r="J573" s="1015"/>
      <c r="K573" s="288"/>
      <c r="L573" s="302"/>
      <c r="M573" s="302"/>
      <c r="N573" s="302"/>
    </row>
    <row r="574" spans="1:14" x14ac:dyDescent="0.25">
      <c r="A574" s="302"/>
      <c r="B574" s="302"/>
      <c r="C574" s="288"/>
      <c r="D574" s="288"/>
      <c r="E574" s="1242"/>
      <c r="F574" s="288"/>
      <c r="G574" s="288"/>
      <c r="H574" s="1015"/>
      <c r="I574" s="1015"/>
      <c r="J574" s="1015"/>
      <c r="K574" s="288"/>
      <c r="L574" s="302"/>
      <c r="M574" s="302"/>
      <c r="N574" s="302"/>
    </row>
    <row r="575" spans="1:14" x14ac:dyDescent="0.25">
      <c r="A575" s="302"/>
      <c r="B575" s="302"/>
      <c r="C575" s="288"/>
      <c r="D575" s="288"/>
      <c r="E575" s="1242"/>
      <c r="F575" s="288"/>
      <c r="G575" s="288"/>
      <c r="H575" s="1015"/>
      <c r="I575" s="1015"/>
      <c r="J575" s="1015"/>
      <c r="K575" s="288"/>
      <c r="L575" s="302"/>
      <c r="M575" s="302"/>
      <c r="N575" s="302"/>
    </row>
    <row r="576" spans="1:14" x14ac:dyDescent="0.25">
      <c r="A576" s="302"/>
      <c r="B576" s="302"/>
      <c r="C576" s="288"/>
      <c r="D576" s="288"/>
      <c r="E576" s="1242"/>
      <c r="F576" s="288"/>
      <c r="G576" s="288"/>
      <c r="H576" s="1015"/>
      <c r="I576" s="1015"/>
      <c r="J576" s="1015"/>
      <c r="K576" s="288"/>
      <c r="L576" s="302"/>
      <c r="M576" s="302"/>
      <c r="N576" s="302"/>
    </row>
    <row r="577" spans="1:14" x14ac:dyDescent="0.25">
      <c r="A577" s="302"/>
      <c r="B577" s="302"/>
      <c r="C577" s="288"/>
      <c r="D577" s="288"/>
      <c r="E577" s="1242"/>
      <c r="F577" s="288"/>
      <c r="G577" s="288"/>
      <c r="H577" s="1015"/>
      <c r="I577" s="1015"/>
      <c r="J577" s="1015"/>
      <c r="K577" s="288"/>
      <c r="L577" s="302"/>
      <c r="M577" s="302"/>
      <c r="N577" s="302"/>
    </row>
    <row r="578" spans="1:14" x14ac:dyDescent="0.25">
      <c r="A578" s="302"/>
      <c r="B578" s="302"/>
      <c r="C578" s="288"/>
      <c r="D578" s="288"/>
      <c r="E578" s="1242"/>
      <c r="F578" s="288"/>
      <c r="G578" s="288"/>
      <c r="H578" s="1015"/>
      <c r="I578" s="1015"/>
      <c r="J578" s="1015"/>
      <c r="K578" s="288"/>
      <c r="L578" s="302"/>
      <c r="M578" s="302"/>
      <c r="N578" s="302"/>
    </row>
    <row r="579" spans="1:14" x14ac:dyDescent="0.25">
      <c r="A579" s="302"/>
      <c r="B579" s="302"/>
      <c r="C579" s="288"/>
      <c r="D579" s="288"/>
      <c r="E579" s="1242"/>
      <c r="F579" s="288"/>
      <c r="G579" s="288"/>
      <c r="H579" s="1015"/>
      <c r="I579" s="1015"/>
      <c r="J579" s="1015"/>
      <c r="K579" s="288"/>
      <c r="L579" s="302"/>
      <c r="M579" s="302"/>
      <c r="N579" s="302"/>
    </row>
    <row r="580" spans="1:14" x14ac:dyDescent="0.25">
      <c r="A580" s="302"/>
      <c r="B580" s="302"/>
      <c r="C580" s="288"/>
      <c r="D580" s="288"/>
      <c r="E580" s="1242"/>
      <c r="F580" s="288"/>
      <c r="G580" s="288"/>
      <c r="H580" s="1015"/>
      <c r="I580" s="1015"/>
      <c r="J580" s="1015"/>
      <c r="K580" s="288"/>
      <c r="L580" s="302"/>
      <c r="M580" s="302"/>
      <c r="N580" s="302"/>
    </row>
    <row r="581" spans="1:14" x14ac:dyDescent="0.25">
      <c r="A581" s="302"/>
      <c r="B581" s="302"/>
      <c r="C581" s="288"/>
      <c r="D581" s="288"/>
      <c r="E581" s="1242"/>
      <c r="F581" s="288"/>
      <c r="G581" s="288"/>
      <c r="H581" s="1015"/>
      <c r="I581" s="1015"/>
      <c r="J581" s="1015"/>
      <c r="K581" s="288"/>
      <c r="L581" s="302"/>
      <c r="M581" s="302"/>
      <c r="N581" s="302"/>
    </row>
    <row r="582" spans="1:14" x14ac:dyDescent="0.25">
      <c r="A582" s="302"/>
      <c r="B582" s="302"/>
      <c r="C582" s="288"/>
      <c r="D582" s="288"/>
      <c r="E582" s="1242"/>
      <c r="F582" s="288"/>
      <c r="G582" s="288"/>
      <c r="H582" s="1015"/>
      <c r="I582" s="1015"/>
      <c r="J582" s="1015"/>
      <c r="K582" s="288"/>
      <c r="L582" s="302"/>
      <c r="M582" s="302"/>
      <c r="N582" s="302"/>
    </row>
    <row r="583" spans="1:14" x14ac:dyDescent="0.25">
      <c r="A583" s="302"/>
      <c r="B583" s="302"/>
      <c r="C583" s="288"/>
      <c r="D583" s="288"/>
      <c r="E583" s="1242"/>
      <c r="F583" s="288"/>
      <c r="G583" s="288"/>
      <c r="H583" s="1015"/>
      <c r="I583" s="1015"/>
      <c r="J583" s="1015"/>
      <c r="K583" s="288"/>
      <c r="L583" s="302"/>
      <c r="M583" s="302"/>
      <c r="N583" s="302"/>
    </row>
    <row r="584" spans="1:14" x14ac:dyDescent="0.25">
      <c r="A584" s="302"/>
      <c r="B584" s="302"/>
      <c r="C584" s="288"/>
      <c r="D584" s="288"/>
      <c r="E584" s="1242"/>
      <c r="F584" s="288"/>
      <c r="G584" s="288"/>
      <c r="H584" s="1015"/>
      <c r="I584" s="1015"/>
      <c r="J584" s="1015"/>
      <c r="K584" s="288"/>
      <c r="L584" s="302"/>
      <c r="M584" s="302"/>
      <c r="N584" s="302"/>
    </row>
    <row r="585" spans="1:14" x14ac:dyDescent="0.25">
      <c r="A585" s="302"/>
      <c r="B585" s="302"/>
      <c r="C585" s="288"/>
      <c r="D585" s="288"/>
      <c r="E585" s="1242"/>
      <c r="F585" s="288"/>
      <c r="G585" s="288"/>
      <c r="H585" s="1015"/>
      <c r="I585" s="1015"/>
      <c r="J585" s="1015"/>
      <c r="K585" s="288"/>
      <c r="L585" s="302"/>
      <c r="M585" s="302"/>
      <c r="N585" s="302"/>
    </row>
    <row r="586" spans="1:14" x14ac:dyDescent="0.25">
      <c r="A586" s="302"/>
      <c r="B586" s="302"/>
      <c r="C586" s="288"/>
      <c r="D586" s="288"/>
      <c r="E586" s="1242"/>
      <c r="F586" s="288"/>
      <c r="G586" s="288"/>
      <c r="H586" s="1015"/>
      <c r="I586" s="1015"/>
      <c r="J586" s="1015"/>
      <c r="K586" s="288"/>
      <c r="L586" s="302"/>
      <c r="M586" s="302"/>
      <c r="N586" s="302"/>
    </row>
    <row r="587" spans="1:14" x14ac:dyDescent="0.25">
      <c r="A587" s="302"/>
      <c r="B587" s="302"/>
      <c r="C587" s="288"/>
      <c r="D587" s="288"/>
      <c r="E587" s="1242"/>
      <c r="F587" s="288"/>
      <c r="G587" s="288"/>
      <c r="H587" s="1015"/>
      <c r="I587" s="1015"/>
      <c r="J587" s="1015"/>
      <c r="K587" s="288"/>
      <c r="L587" s="302"/>
      <c r="M587" s="302"/>
      <c r="N587" s="302"/>
    </row>
    <row r="588" spans="1:14" x14ac:dyDescent="0.25">
      <c r="A588" s="302"/>
      <c r="B588" s="302"/>
      <c r="C588" s="288"/>
      <c r="D588" s="288"/>
      <c r="E588" s="1242"/>
      <c r="F588" s="288"/>
      <c r="G588" s="288"/>
      <c r="H588" s="1015"/>
      <c r="I588" s="1015"/>
      <c r="J588" s="1015"/>
      <c r="K588" s="288"/>
      <c r="L588" s="302"/>
      <c r="M588" s="302"/>
      <c r="N588" s="302"/>
    </row>
    <row r="589" spans="1:14" x14ac:dyDescent="0.25">
      <c r="A589" s="302"/>
      <c r="B589" s="302"/>
      <c r="C589" s="288"/>
      <c r="D589" s="288"/>
      <c r="E589" s="1242"/>
      <c r="F589" s="288"/>
      <c r="G589" s="288"/>
      <c r="H589" s="1015"/>
      <c r="I589" s="1015"/>
      <c r="J589" s="1015"/>
      <c r="K589" s="288"/>
      <c r="L589" s="302"/>
      <c r="M589" s="302"/>
      <c r="N589" s="302"/>
    </row>
    <row r="590" spans="1:14" x14ac:dyDescent="0.25">
      <c r="A590" s="302"/>
      <c r="B590" s="302"/>
      <c r="C590" s="288"/>
      <c r="D590" s="288"/>
      <c r="E590" s="1242"/>
      <c r="F590" s="288"/>
      <c r="G590" s="288"/>
      <c r="H590" s="1015"/>
      <c r="I590" s="1015"/>
      <c r="J590" s="1015"/>
      <c r="K590" s="288"/>
      <c r="L590" s="302"/>
      <c r="M590" s="302"/>
      <c r="N590" s="302"/>
    </row>
    <row r="591" spans="1:14" x14ac:dyDescent="0.25">
      <c r="A591" s="302"/>
      <c r="B591" s="302"/>
      <c r="C591" s="288"/>
      <c r="D591" s="288"/>
      <c r="E591" s="1242"/>
      <c r="F591" s="288"/>
      <c r="G591" s="288"/>
      <c r="H591" s="1015"/>
      <c r="I591" s="1015"/>
      <c r="J591" s="1015"/>
      <c r="K591" s="288"/>
      <c r="L591" s="302"/>
      <c r="M591" s="302"/>
      <c r="N591" s="302"/>
    </row>
    <row r="592" spans="1:14" x14ac:dyDescent="0.25">
      <c r="A592" s="302"/>
      <c r="B592" s="302"/>
      <c r="C592" s="288"/>
      <c r="D592" s="288"/>
      <c r="E592" s="1242"/>
      <c r="F592" s="288"/>
      <c r="G592" s="288"/>
      <c r="H592" s="1015"/>
      <c r="I592" s="1015"/>
      <c r="J592" s="1015"/>
      <c r="K592" s="288"/>
      <c r="L592" s="302"/>
      <c r="M592" s="302"/>
      <c r="N592" s="302"/>
    </row>
    <row r="593" spans="1:14" x14ac:dyDescent="0.25">
      <c r="A593" s="302"/>
      <c r="B593" s="302"/>
      <c r="C593" s="288"/>
      <c r="D593" s="288"/>
      <c r="E593" s="1242"/>
      <c r="F593" s="288"/>
      <c r="G593" s="288"/>
      <c r="H593" s="1015"/>
      <c r="I593" s="1015"/>
      <c r="J593" s="1015"/>
      <c r="K593" s="288"/>
      <c r="L593" s="302"/>
      <c r="M593" s="302"/>
      <c r="N593" s="302"/>
    </row>
    <row r="594" spans="1:14" x14ac:dyDescent="0.25">
      <c r="A594" s="302"/>
      <c r="B594" s="302"/>
      <c r="C594" s="288"/>
      <c r="D594" s="288"/>
      <c r="E594" s="1242"/>
      <c r="F594" s="288"/>
      <c r="G594" s="288"/>
      <c r="H594" s="1015"/>
      <c r="I594" s="1015"/>
      <c r="J594" s="1015"/>
      <c r="K594" s="288"/>
      <c r="L594" s="302"/>
      <c r="M594" s="302"/>
      <c r="N594" s="302"/>
    </row>
    <row r="595" spans="1:14" x14ac:dyDescent="0.25">
      <c r="A595" s="302"/>
      <c r="B595" s="302"/>
      <c r="C595" s="288"/>
      <c r="D595" s="288"/>
      <c r="E595" s="1242"/>
      <c r="F595" s="288"/>
      <c r="G595" s="288"/>
      <c r="H595" s="1015"/>
      <c r="I595" s="1015"/>
      <c r="J595" s="1015"/>
      <c r="K595" s="288"/>
      <c r="L595" s="302"/>
      <c r="M595" s="302"/>
      <c r="N595" s="302"/>
    </row>
    <row r="596" spans="1:14" x14ac:dyDescent="0.25">
      <c r="A596" s="302"/>
      <c r="B596" s="302"/>
      <c r="C596" s="288"/>
      <c r="D596" s="288"/>
      <c r="E596" s="1242"/>
      <c r="F596" s="288"/>
      <c r="G596" s="288"/>
      <c r="H596" s="1015"/>
      <c r="I596" s="1015"/>
      <c r="J596" s="1015"/>
      <c r="K596" s="288"/>
      <c r="L596" s="302"/>
      <c r="M596" s="302"/>
      <c r="N596" s="302"/>
    </row>
    <row r="597" spans="1:14" x14ac:dyDescent="0.25">
      <c r="A597" s="302"/>
      <c r="B597" s="302"/>
      <c r="C597" s="288"/>
      <c r="D597" s="288"/>
      <c r="E597" s="1242"/>
      <c r="F597" s="288"/>
      <c r="G597" s="288"/>
      <c r="H597" s="1015"/>
      <c r="I597" s="1015"/>
      <c r="J597" s="1015"/>
      <c r="K597" s="288"/>
      <c r="L597" s="302"/>
      <c r="M597" s="302"/>
      <c r="N597" s="302"/>
    </row>
    <row r="598" spans="1:14" x14ac:dyDescent="0.25">
      <c r="A598" s="302"/>
      <c r="B598" s="302"/>
      <c r="C598" s="288"/>
      <c r="D598" s="288"/>
      <c r="E598" s="1242"/>
      <c r="F598" s="288"/>
      <c r="G598" s="288"/>
      <c r="H598" s="1015"/>
      <c r="I598" s="1015"/>
      <c r="J598" s="1015"/>
      <c r="K598" s="288"/>
      <c r="L598" s="302"/>
      <c r="M598" s="302"/>
      <c r="N598" s="302"/>
    </row>
    <row r="599" spans="1:14" x14ac:dyDescent="0.25">
      <c r="A599" s="302"/>
      <c r="B599" s="302"/>
      <c r="C599" s="288"/>
      <c r="D599" s="288"/>
      <c r="E599" s="1242"/>
      <c r="F599" s="288"/>
      <c r="G599" s="288"/>
      <c r="H599" s="1015"/>
      <c r="I599" s="1015"/>
      <c r="J599" s="1015"/>
      <c r="K599" s="288"/>
      <c r="L599" s="302"/>
      <c r="M599" s="302"/>
      <c r="N599" s="302"/>
    </row>
    <row r="600" spans="1:14" x14ac:dyDescent="0.25">
      <c r="A600" s="302"/>
      <c r="B600" s="302"/>
      <c r="C600" s="288"/>
      <c r="D600" s="288"/>
      <c r="E600" s="1242"/>
      <c r="F600" s="288"/>
      <c r="G600" s="288"/>
      <c r="H600" s="1015"/>
      <c r="I600" s="1015"/>
      <c r="J600" s="1015"/>
      <c r="K600" s="288"/>
      <c r="L600" s="302"/>
      <c r="M600" s="302"/>
      <c r="N600" s="302"/>
    </row>
    <row r="601" spans="1:14" x14ac:dyDescent="0.25">
      <c r="A601" s="302"/>
      <c r="B601" s="302"/>
      <c r="C601" s="288"/>
      <c r="D601" s="288"/>
      <c r="E601" s="1242"/>
      <c r="F601" s="288"/>
      <c r="G601" s="288"/>
      <c r="H601" s="1015"/>
      <c r="I601" s="1015"/>
      <c r="J601" s="1015"/>
      <c r="K601" s="288"/>
      <c r="L601" s="302"/>
      <c r="M601" s="302"/>
      <c r="N601" s="302"/>
    </row>
    <row r="602" spans="1:14" x14ac:dyDescent="0.25">
      <c r="A602" s="302"/>
      <c r="B602" s="302"/>
      <c r="C602" s="288"/>
      <c r="D602" s="288"/>
      <c r="E602" s="1242"/>
      <c r="F602" s="288"/>
      <c r="G602" s="288"/>
      <c r="H602" s="1015"/>
      <c r="I602" s="1015"/>
      <c r="J602" s="1015"/>
      <c r="K602" s="288"/>
      <c r="L602" s="302"/>
      <c r="M602" s="302"/>
      <c r="N602" s="302"/>
    </row>
    <row r="603" spans="1:14" x14ac:dyDescent="0.25">
      <c r="A603" s="302"/>
      <c r="B603" s="302"/>
      <c r="C603" s="288"/>
      <c r="D603" s="288"/>
      <c r="E603" s="1242"/>
      <c r="F603" s="288"/>
      <c r="G603" s="288"/>
      <c r="H603" s="1015"/>
      <c r="I603" s="1015"/>
      <c r="J603" s="1015"/>
      <c r="K603" s="288"/>
      <c r="L603" s="302"/>
      <c r="M603" s="302"/>
      <c r="N603" s="302"/>
    </row>
    <row r="604" spans="1:14" x14ac:dyDescent="0.25">
      <c r="A604" s="302"/>
      <c r="B604" s="302"/>
      <c r="C604" s="288"/>
      <c r="D604" s="288"/>
      <c r="E604" s="1242"/>
      <c r="F604" s="288"/>
      <c r="G604" s="288"/>
      <c r="H604" s="1015"/>
      <c r="I604" s="1015"/>
      <c r="J604" s="1015"/>
      <c r="K604" s="288"/>
      <c r="L604" s="302"/>
      <c r="M604" s="302"/>
      <c r="N604" s="302"/>
    </row>
    <row r="605" spans="1:14" x14ac:dyDescent="0.25">
      <c r="A605" s="302"/>
      <c r="B605" s="302"/>
      <c r="C605" s="288"/>
      <c r="D605" s="288"/>
      <c r="E605" s="1242"/>
      <c r="F605" s="288"/>
      <c r="G605" s="288"/>
      <c r="H605" s="1015"/>
      <c r="I605" s="1015"/>
      <c r="J605" s="1015"/>
      <c r="K605" s="288"/>
      <c r="L605" s="302"/>
      <c r="M605" s="302"/>
      <c r="N605" s="302"/>
    </row>
    <row r="606" spans="1:14" x14ac:dyDescent="0.25">
      <c r="A606" s="302"/>
      <c r="B606" s="302"/>
      <c r="C606" s="288"/>
      <c r="D606" s="288"/>
      <c r="E606" s="1242"/>
      <c r="F606" s="288"/>
      <c r="G606" s="288"/>
      <c r="H606" s="1015"/>
      <c r="I606" s="1015"/>
      <c r="J606" s="1015"/>
      <c r="K606" s="288"/>
      <c r="L606" s="302"/>
      <c r="M606" s="302"/>
      <c r="N606" s="302"/>
    </row>
    <row r="607" spans="1:14" x14ac:dyDescent="0.25">
      <c r="A607" s="302"/>
      <c r="B607" s="302"/>
      <c r="C607" s="288"/>
      <c r="D607" s="288"/>
      <c r="E607" s="1242"/>
      <c r="F607" s="288"/>
      <c r="G607" s="288"/>
      <c r="H607" s="1015"/>
      <c r="I607" s="1015"/>
      <c r="J607" s="1015"/>
      <c r="K607" s="288"/>
      <c r="L607" s="302"/>
      <c r="M607" s="302"/>
      <c r="N607" s="302"/>
    </row>
    <row r="608" spans="1:14" x14ac:dyDescent="0.25">
      <c r="A608" s="302"/>
      <c r="B608" s="302"/>
      <c r="C608" s="288"/>
      <c r="D608" s="288"/>
      <c r="E608" s="1242"/>
      <c r="F608" s="288"/>
      <c r="G608" s="288"/>
      <c r="H608" s="1015"/>
      <c r="I608" s="1015"/>
      <c r="J608" s="1015"/>
      <c r="K608" s="288"/>
      <c r="L608" s="302"/>
      <c r="M608" s="302"/>
      <c r="N608" s="302"/>
    </row>
    <row r="609" spans="1:14" x14ac:dyDescent="0.25">
      <c r="A609" s="302"/>
      <c r="B609" s="302"/>
      <c r="C609" s="288"/>
      <c r="D609" s="288"/>
      <c r="E609" s="1242"/>
      <c r="F609" s="288"/>
      <c r="G609" s="288"/>
      <c r="H609" s="1015"/>
      <c r="I609" s="1015"/>
      <c r="J609" s="1015"/>
      <c r="K609" s="288"/>
      <c r="L609" s="302"/>
      <c r="M609" s="302"/>
      <c r="N609" s="302"/>
    </row>
    <row r="610" spans="1:14" x14ac:dyDescent="0.25">
      <c r="A610" s="302"/>
      <c r="B610" s="302"/>
      <c r="C610" s="288"/>
      <c r="D610" s="288"/>
      <c r="E610" s="1242"/>
      <c r="F610" s="288"/>
      <c r="G610" s="288"/>
      <c r="H610" s="1015"/>
      <c r="I610" s="1015"/>
      <c r="J610" s="1015"/>
      <c r="K610" s="288"/>
      <c r="L610" s="302"/>
      <c r="M610" s="302"/>
      <c r="N610" s="302"/>
    </row>
    <row r="611" spans="1:14" x14ac:dyDescent="0.25">
      <c r="A611" s="302"/>
      <c r="B611" s="302"/>
      <c r="C611" s="288"/>
      <c r="D611" s="288"/>
      <c r="E611" s="1242"/>
      <c r="F611" s="288"/>
      <c r="G611" s="288"/>
      <c r="H611" s="1015"/>
      <c r="I611" s="1015"/>
      <c r="J611" s="1015"/>
      <c r="K611" s="288"/>
      <c r="L611" s="302"/>
      <c r="M611" s="302"/>
      <c r="N611" s="302"/>
    </row>
    <row r="612" spans="1:14" x14ac:dyDescent="0.25">
      <c r="A612" s="302"/>
      <c r="B612" s="302"/>
      <c r="C612" s="288"/>
      <c r="D612" s="288"/>
      <c r="E612" s="1242"/>
      <c r="F612" s="288"/>
      <c r="G612" s="288"/>
      <c r="H612" s="1015"/>
      <c r="I612" s="1015"/>
      <c r="J612" s="1015"/>
      <c r="K612" s="288"/>
      <c r="L612" s="302"/>
      <c r="M612" s="302"/>
      <c r="N612" s="302"/>
    </row>
    <row r="613" spans="1:14" x14ac:dyDescent="0.25">
      <c r="A613" s="302"/>
      <c r="B613" s="302"/>
      <c r="C613" s="288"/>
      <c r="D613" s="288"/>
      <c r="E613" s="1242"/>
      <c r="F613" s="288"/>
      <c r="G613" s="288"/>
      <c r="H613" s="1015"/>
      <c r="I613" s="1015"/>
      <c r="J613" s="1015"/>
      <c r="K613" s="288"/>
      <c r="L613" s="302"/>
      <c r="M613" s="302"/>
      <c r="N613" s="302"/>
    </row>
    <row r="614" spans="1:14" x14ac:dyDescent="0.25">
      <c r="A614" s="302"/>
      <c r="B614" s="302"/>
      <c r="C614" s="288"/>
      <c r="D614" s="288"/>
      <c r="E614" s="1242"/>
      <c r="F614" s="288"/>
      <c r="G614" s="288"/>
      <c r="H614" s="1015"/>
      <c r="I614" s="1015"/>
      <c r="J614" s="1015"/>
      <c r="K614" s="288"/>
      <c r="L614" s="302"/>
      <c r="M614" s="302"/>
      <c r="N614" s="302"/>
    </row>
    <row r="615" spans="1:14" x14ac:dyDescent="0.25">
      <c r="A615" s="302"/>
      <c r="B615" s="302"/>
      <c r="C615" s="288"/>
      <c r="D615" s="288"/>
      <c r="E615" s="1242"/>
      <c r="F615" s="288"/>
      <c r="G615" s="288"/>
      <c r="H615" s="1015"/>
      <c r="I615" s="1015"/>
      <c r="J615" s="1015"/>
      <c r="K615" s="288"/>
      <c r="L615" s="302"/>
      <c r="M615" s="302"/>
      <c r="N615" s="302"/>
    </row>
    <row r="616" spans="1:14" x14ac:dyDescent="0.25">
      <c r="A616" s="302"/>
      <c r="B616" s="302"/>
      <c r="C616" s="288"/>
      <c r="D616" s="288"/>
      <c r="E616" s="1242"/>
      <c r="F616" s="288"/>
      <c r="G616" s="288"/>
      <c r="H616" s="1015"/>
      <c r="I616" s="1015"/>
      <c r="J616" s="1015"/>
      <c r="K616" s="288"/>
      <c r="L616" s="302"/>
      <c r="M616" s="302"/>
      <c r="N616" s="302"/>
    </row>
    <row r="617" spans="1:14" x14ac:dyDescent="0.25">
      <c r="A617" s="302"/>
      <c r="B617" s="302"/>
      <c r="C617" s="288"/>
      <c r="D617" s="288"/>
      <c r="E617" s="1242"/>
      <c r="F617" s="288"/>
      <c r="G617" s="288"/>
      <c r="H617" s="1015"/>
      <c r="I617" s="1015"/>
      <c r="J617" s="1015"/>
      <c r="K617" s="288"/>
      <c r="L617" s="302"/>
      <c r="M617" s="302"/>
      <c r="N617" s="302"/>
    </row>
    <row r="618" spans="1:14" x14ac:dyDescent="0.25">
      <c r="A618" s="302"/>
      <c r="B618" s="302"/>
      <c r="C618" s="288"/>
      <c r="D618" s="288"/>
      <c r="E618" s="1242"/>
      <c r="F618" s="288"/>
      <c r="G618" s="288"/>
      <c r="H618" s="1015"/>
      <c r="I618" s="1015"/>
      <c r="J618" s="1015"/>
      <c r="K618" s="288"/>
      <c r="L618" s="302"/>
      <c r="M618" s="302"/>
      <c r="N618" s="302"/>
    </row>
    <row r="619" spans="1:14" x14ac:dyDescent="0.25">
      <c r="A619" s="302"/>
      <c r="B619" s="302"/>
      <c r="C619" s="288"/>
      <c r="D619" s="288"/>
      <c r="E619" s="1242"/>
      <c r="F619" s="288"/>
      <c r="G619" s="288"/>
      <c r="H619" s="1015"/>
      <c r="I619" s="1015"/>
      <c r="J619" s="1015"/>
      <c r="K619" s="288"/>
      <c r="L619" s="302"/>
      <c r="M619" s="302"/>
      <c r="N619" s="302"/>
    </row>
    <row r="620" spans="1:14" x14ac:dyDescent="0.25">
      <c r="A620" s="302"/>
      <c r="B620" s="302"/>
      <c r="C620" s="288"/>
      <c r="D620" s="288"/>
      <c r="E620" s="1242"/>
      <c r="F620" s="288"/>
      <c r="G620" s="288"/>
      <c r="H620" s="1015"/>
      <c r="I620" s="1015"/>
      <c r="J620" s="1015"/>
      <c r="K620" s="288"/>
      <c r="L620" s="302"/>
      <c r="M620" s="302"/>
      <c r="N620" s="302"/>
    </row>
    <row r="621" spans="1:14" x14ac:dyDescent="0.25">
      <c r="A621" s="302"/>
      <c r="B621" s="302"/>
      <c r="C621" s="288"/>
      <c r="D621" s="288"/>
      <c r="E621" s="1242"/>
      <c r="F621" s="288"/>
      <c r="G621" s="288"/>
      <c r="H621" s="1015"/>
      <c r="I621" s="1015"/>
      <c r="J621" s="1015"/>
      <c r="K621" s="288"/>
      <c r="L621" s="302"/>
      <c r="M621" s="302"/>
      <c r="N621" s="302"/>
    </row>
    <row r="622" spans="1:14" x14ac:dyDescent="0.25">
      <c r="A622" s="302"/>
      <c r="B622" s="302"/>
      <c r="C622" s="288"/>
      <c r="D622" s="288"/>
      <c r="E622" s="1242"/>
      <c r="F622" s="288"/>
      <c r="G622" s="288"/>
      <c r="H622" s="1015"/>
      <c r="I622" s="1015"/>
      <c r="J622" s="1015"/>
      <c r="K622" s="288"/>
      <c r="L622" s="302"/>
      <c r="M622" s="302"/>
      <c r="N622" s="302"/>
    </row>
    <row r="623" spans="1:14" x14ac:dyDescent="0.25">
      <c r="A623" s="302"/>
      <c r="B623" s="302"/>
      <c r="C623" s="288"/>
      <c r="D623" s="288"/>
      <c r="E623" s="1242"/>
      <c r="F623" s="288"/>
      <c r="G623" s="288"/>
      <c r="H623" s="1015"/>
      <c r="I623" s="1015"/>
      <c r="J623" s="1015"/>
      <c r="K623" s="288"/>
      <c r="L623" s="302"/>
      <c r="M623" s="302"/>
      <c r="N623" s="302"/>
    </row>
    <row r="624" spans="1:14" x14ac:dyDescent="0.25">
      <c r="A624" s="302"/>
      <c r="B624" s="302"/>
      <c r="C624" s="288"/>
      <c r="D624" s="288"/>
      <c r="E624" s="1242"/>
      <c r="F624" s="288"/>
      <c r="G624" s="288"/>
      <c r="H624" s="1015"/>
      <c r="I624" s="1015"/>
      <c r="J624" s="1015"/>
      <c r="K624" s="288"/>
      <c r="L624" s="302"/>
      <c r="M624" s="302"/>
      <c r="N624" s="302"/>
    </row>
    <row r="625" spans="1:14" x14ac:dyDescent="0.25">
      <c r="A625" s="302"/>
      <c r="B625" s="302"/>
      <c r="C625" s="288"/>
      <c r="D625" s="288"/>
      <c r="E625" s="1242"/>
      <c r="F625" s="288"/>
      <c r="G625" s="288"/>
      <c r="H625" s="1015"/>
      <c r="I625" s="1015"/>
      <c r="J625" s="1015"/>
      <c r="K625" s="288"/>
      <c r="L625" s="302"/>
      <c r="M625" s="302"/>
      <c r="N625" s="302"/>
    </row>
    <row r="626" spans="1:14" x14ac:dyDescent="0.25">
      <c r="A626" s="302"/>
      <c r="B626" s="302"/>
      <c r="C626" s="288"/>
      <c r="D626" s="288"/>
      <c r="E626" s="1242"/>
      <c r="F626" s="288"/>
      <c r="G626" s="288"/>
      <c r="H626" s="1015"/>
      <c r="I626" s="1015"/>
      <c r="J626" s="1015"/>
      <c r="K626" s="288"/>
      <c r="L626" s="302"/>
      <c r="M626" s="302"/>
      <c r="N626" s="302"/>
    </row>
    <row r="627" spans="1:14" x14ac:dyDescent="0.25">
      <c r="A627" s="302"/>
      <c r="B627" s="302"/>
      <c r="C627" s="288"/>
      <c r="D627" s="288"/>
      <c r="E627" s="1242"/>
      <c r="F627" s="288"/>
      <c r="G627" s="288"/>
      <c r="H627" s="1015"/>
      <c r="I627" s="1015"/>
      <c r="J627" s="1015"/>
      <c r="K627" s="288"/>
      <c r="L627" s="302"/>
      <c r="M627" s="302"/>
      <c r="N627" s="302"/>
    </row>
    <row r="628" spans="1:14" x14ac:dyDescent="0.25">
      <c r="A628" s="302"/>
      <c r="B628" s="302"/>
      <c r="C628" s="288"/>
      <c r="D628" s="288"/>
      <c r="E628" s="1242"/>
      <c r="F628" s="288"/>
      <c r="G628" s="288"/>
      <c r="H628" s="1015"/>
      <c r="I628" s="1015"/>
      <c r="J628" s="1015"/>
      <c r="K628" s="288"/>
      <c r="L628" s="302"/>
      <c r="M628" s="302"/>
      <c r="N628" s="302"/>
    </row>
    <row r="629" spans="1:14" x14ac:dyDescent="0.25">
      <c r="A629" s="302"/>
      <c r="B629" s="302"/>
      <c r="C629" s="288"/>
      <c r="D629" s="288"/>
      <c r="E629" s="1242"/>
      <c r="F629" s="288"/>
      <c r="G629" s="288"/>
      <c r="H629" s="1015"/>
      <c r="I629" s="1015"/>
      <c r="J629" s="1015"/>
      <c r="K629" s="288"/>
      <c r="L629" s="302"/>
      <c r="M629" s="302"/>
      <c r="N629" s="302"/>
    </row>
    <row r="630" spans="1:14" x14ac:dyDescent="0.25">
      <c r="A630" s="302"/>
      <c r="B630" s="302"/>
      <c r="C630" s="288"/>
      <c r="D630" s="288"/>
      <c r="E630" s="1242"/>
      <c r="F630" s="288"/>
      <c r="G630" s="288"/>
      <c r="H630" s="1015"/>
      <c r="I630" s="1015"/>
      <c r="J630" s="1015"/>
      <c r="K630" s="288"/>
      <c r="L630" s="302"/>
      <c r="M630" s="302"/>
      <c r="N630" s="302"/>
    </row>
    <row r="631" spans="1:14" x14ac:dyDescent="0.25">
      <c r="A631" s="302"/>
      <c r="B631" s="302"/>
      <c r="C631" s="288"/>
      <c r="D631" s="288"/>
      <c r="E631" s="1242"/>
      <c r="F631" s="288"/>
      <c r="G631" s="288"/>
      <c r="H631" s="1015"/>
      <c r="I631" s="1015"/>
      <c r="J631" s="1015"/>
      <c r="K631" s="288"/>
      <c r="L631" s="302"/>
      <c r="M631" s="302"/>
      <c r="N631" s="302"/>
    </row>
    <row r="632" spans="1:14" x14ac:dyDescent="0.25">
      <c r="A632" s="302"/>
      <c r="B632" s="302"/>
      <c r="C632" s="288"/>
      <c r="D632" s="288"/>
      <c r="E632" s="1242"/>
      <c r="F632" s="288"/>
      <c r="G632" s="288"/>
      <c r="H632" s="1015"/>
      <c r="I632" s="1015"/>
      <c r="J632" s="1015"/>
      <c r="K632" s="288"/>
      <c r="L632" s="302"/>
      <c r="M632" s="302"/>
      <c r="N632" s="302"/>
    </row>
    <row r="633" spans="1:14" x14ac:dyDescent="0.25">
      <c r="A633" s="302"/>
      <c r="B633" s="302"/>
      <c r="C633" s="288"/>
      <c r="D633" s="288"/>
      <c r="E633" s="1242"/>
      <c r="F633" s="288"/>
      <c r="G633" s="288"/>
      <c r="H633" s="1015"/>
      <c r="I633" s="1015"/>
      <c r="J633" s="1015"/>
      <c r="K633" s="288"/>
      <c r="L633" s="302"/>
      <c r="M633" s="302"/>
      <c r="N633" s="302"/>
    </row>
    <row r="634" spans="1:14" x14ac:dyDescent="0.25">
      <c r="A634" s="302"/>
      <c r="B634" s="302"/>
      <c r="C634" s="288"/>
      <c r="D634" s="288"/>
      <c r="E634" s="1242"/>
      <c r="F634" s="288"/>
      <c r="G634" s="288"/>
      <c r="H634" s="1015"/>
      <c r="I634" s="1015"/>
      <c r="J634" s="1015"/>
      <c r="K634" s="288"/>
      <c r="L634" s="302"/>
      <c r="M634" s="302"/>
      <c r="N634" s="302"/>
    </row>
    <row r="635" spans="1:14" x14ac:dyDescent="0.25">
      <c r="A635" s="302"/>
      <c r="B635" s="302"/>
      <c r="C635" s="288"/>
      <c r="D635" s="288"/>
      <c r="E635" s="1242"/>
      <c r="F635" s="288"/>
      <c r="G635" s="288"/>
      <c r="H635" s="1015"/>
      <c r="I635" s="1015"/>
      <c r="J635" s="1015"/>
      <c r="K635" s="288"/>
      <c r="L635" s="302"/>
      <c r="M635" s="302"/>
      <c r="N635" s="302"/>
    </row>
    <row r="636" spans="1:14" x14ac:dyDescent="0.25">
      <c r="A636" s="302"/>
      <c r="B636" s="302"/>
      <c r="C636" s="288"/>
      <c r="D636" s="288"/>
      <c r="E636" s="1242"/>
      <c r="F636" s="288"/>
      <c r="G636" s="288"/>
      <c r="H636" s="1015"/>
      <c r="I636" s="1015"/>
      <c r="J636" s="1015"/>
      <c r="K636" s="288"/>
      <c r="L636" s="302"/>
      <c r="M636" s="302"/>
      <c r="N636" s="302"/>
    </row>
    <row r="637" spans="1:14" x14ac:dyDescent="0.25">
      <c r="A637" s="302"/>
      <c r="B637" s="302"/>
      <c r="C637" s="288"/>
      <c r="D637" s="288"/>
      <c r="E637" s="1242"/>
      <c r="F637" s="288"/>
      <c r="G637" s="288"/>
      <c r="H637" s="1015"/>
      <c r="I637" s="1015"/>
      <c r="J637" s="1015"/>
      <c r="K637" s="288"/>
      <c r="L637" s="302"/>
      <c r="M637" s="302"/>
      <c r="N637" s="302"/>
    </row>
    <row r="638" spans="1:14" x14ac:dyDescent="0.25">
      <c r="A638" s="302"/>
      <c r="B638" s="302"/>
      <c r="C638" s="288"/>
      <c r="D638" s="288"/>
      <c r="E638" s="1242"/>
      <c r="F638" s="288"/>
      <c r="G638" s="288"/>
      <c r="H638" s="1015"/>
      <c r="I638" s="1015"/>
      <c r="J638" s="1015"/>
      <c r="K638" s="288"/>
      <c r="L638" s="302"/>
      <c r="M638" s="302"/>
      <c r="N638" s="302"/>
    </row>
    <row r="639" spans="1:14" x14ac:dyDescent="0.25">
      <c r="A639" s="302"/>
      <c r="B639" s="302"/>
      <c r="C639" s="288"/>
      <c r="D639" s="288"/>
      <c r="E639" s="1242"/>
      <c r="F639" s="288"/>
      <c r="G639" s="288"/>
      <c r="H639" s="1015"/>
      <c r="I639" s="1015"/>
      <c r="J639" s="1015"/>
      <c r="K639" s="288"/>
      <c r="L639" s="302"/>
      <c r="M639" s="302"/>
      <c r="N639" s="302"/>
    </row>
    <row r="640" spans="1:14" x14ac:dyDescent="0.25">
      <c r="A640" s="302"/>
      <c r="B640" s="302"/>
      <c r="C640" s="288"/>
      <c r="D640" s="288"/>
      <c r="E640" s="1242"/>
      <c r="F640" s="288"/>
      <c r="G640" s="288"/>
      <c r="H640" s="1015"/>
      <c r="I640" s="1015"/>
      <c r="J640" s="1015"/>
      <c r="K640" s="288"/>
      <c r="L640" s="302"/>
      <c r="M640" s="302"/>
      <c r="N640" s="302"/>
    </row>
    <row r="641" spans="1:14" x14ac:dyDescent="0.25">
      <c r="A641" s="302"/>
      <c r="B641" s="302"/>
      <c r="C641" s="288"/>
      <c r="D641" s="288"/>
      <c r="E641" s="1242"/>
      <c r="F641" s="288"/>
      <c r="G641" s="288"/>
      <c r="H641" s="1015"/>
      <c r="I641" s="1015"/>
      <c r="J641" s="1015"/>
      <c r="K641" s="288"/>
      <c r="L641" s="302"/>
      <c r="M641" s="302"/>
      <c r="N641" s="302"/>
    </row>
    <row r="642" spans="1:14" x14ac:dyDescent="0.25">
      <c r="A642" s="302"/>
      <c r="B642" s="302"/>
      <c r="C642" s="288"/>
      <c r="D642" s="288"/>
      <c r="E642" s="1242"/>
      <c r="F642" s="288"/>
      <c r="G642" s="288"/>
      <c r="H642" s="1015"/>
      <c r="I642" s="1015"/>
      <c r="J642" s="1015"/>
      <c r="K642" s="288"/>
      <c r="L642" s="302"/>
      <c r="M642" s="302"/>
      <c r="N642" s="302"/>
    </row>
    <row r="643" spans="1:14" x14ac:dyDescent="0.25">
      <c r="A643" s="302"/>
      <c r="B643" s="302"/>
      <c r="C643" s="288"/>
      <c r="D643" s="288"/>
      <c r="E643" s="1242"/>
      <c r="F643" s="288"/>
      <c r="G643" s="288"/>
      <c r="H643" s="1015"/>
      <c r="I643" s="1015"/>
      <c r="J643" s="1015"/>
      <c r="K643" s="288"/>
      <c r="L643" s="302"/>
      <c r="M643" s="302"/>
      <c r="N643" s="302"/>
    </row>
    <row r="644" spans="1:14" x14ac:dyDescent="0.25">
      <c r="A644" s="302"/>
      <c r="B644" s="302"/>
      <c r="C644" s="288"/>
      <c r="D644" s="288"/>
      <c r="E644" s="1242"/>
      <c r="F644" s="288"/>
      <c r="G644" s="288"/>
      <c r="H644" s="1015"/>
      <c r="I644" s="1015"/>
      <c r="J644" s="1015"/>
      <c r="K644" s="288"/>
      <c r="L644" s="302"/>
      <c r="M644" s="302"/>
      <c r="N644" s="302"/>
    </row>
    <row r="645" spans="1:14" x14ac:dyDescent="0.25">
      <c r="A645" s="302"/>
      <c r="B645" s="302"/>
      <c r="C645" s="288"/>
      <c r="D645" s="288"/>
      <c r="E645" s="1242"/>
      <c r="F645" s="288"/>
      <c r="G645" s="288"/>
      <c r="H645" s="1015"/>
      <c r="I645" s="1015"/>
      <c r="J645" s="1015"/>
      <c r="K645" s="288"/>
      <c r="L645" s="302"/>
      <c r="M645" s="302"/>
      <c r="N645" s="302"/>
    </row>
    <row r="646" spans="1:14" x14ac:dyDescent="0.25">
      <c r="A646" s="302"/>
      <c r="B646" s="302"/>
      <c r="C646" s="288"/>
      <c r="D646" s="288"/>
      <c r="E646" s="1242"/>
      <c r="F646" s="288"/>
      <c r="G646" s="288"/>
      <c r="H646" s="1015"/>
      <c r="I646" s="1015"/>
      <c r="J646" s="1015"/>
      <c r="K646" s="288"/>
      <c r="L646" s="302"/>
      <c r="M646" s="302"/>
      <c r="N646" s="302"/>
    </row>
    <row r="647" spans="1:14" x14ac:dyDescent="0.25">
      <c r="A647" s="302"/>
      <c r="B647" s="302"/>
      <c r="C647" s="288"/>
      <c r="D647" s="288"/>
      <c r="E647" s="1242"/>
      <c r="F647" s="288"/>
      <c r="G647" s="288"/>
      <c r="H647" s="1015"/>
      <c r="I647" s="1015"/>
      <c r="J647" s="1015"/>
      <c r="K647" s="288"/>
      <c r="L647" s="302"/>
      <c r="M647" s="302"/>
      <c r="N647" s="302"/>
    </row>
    <row r="648" spans="1:14" x14ac:dyDescent="0.25">
      <c r="A648" s="302"/>
      <c r="B648" s="302"/>
      <c r="C648" s="288"/>
      <c r="D648" s="288"/>
      <c r="E648" s="1242"/>
      <c r="F648" s="288"/>
      <c r="G648" s="288"/>
      <c r="H648" s="1015"/>
      <c r="I648" s="1015"/>
      <c r="J648" s="1015"/>
      <c r="K648" s="288"/>
      <c r="L648" s="302"/>
      <c r="M648" s="302"/>
      <c r="N648" s="302"/>
    </row>
    <row r="649" spans="1:14" x14ac:dyDescent="0.25">
      <c r="A649" s="302"/>
      <c r="B649" s="302"/>
      <c r="C649" s="288"/>
      <c r="D649" s="288"/>
      <c r="E649" s="1242"/>
      <c r="F649" s="288"/>
      <c r="G649" s="288"/>
      <c r="H649" s="1015"/>
      <c r="I649" s="1015"/>
      <c r="J649" s="1015"/>
      <c r="K649" s="288"/>
      <c r="L649" s="302"/>
      <c r="M649" s="302"/>
      <c r="N649" s="302"/>
    </row>
    <row r="650" spans="1:14" x14ac:dyDescent="0.25">
      <c r="A650" s="302"/>
      <c r="B650" s="302"/>
      <c r="C650" s="288"/>
      <c r="D650" s="288"/>
      <c r="E650" s="1242"/>
      <c r="F650" s="288"/>
      <c r="G650" s="288"/>
      <c r="H650" s="1015"/>
      <c r="I650" s="1015"/>
      <c r="J650" s="1015"/>
      <c r="K650" s="288"/>
      <c r="L650" s="302"/>
      <c r="M650" s="302"/>
      <c r="N650" s="302"/>
    </row>
    <row r="651" spans="1:14" x14ac:dyDescent="0.25">
      <c r="A651" s="302"/>
      <c r="B651" s="302"/>
      <c r="C651" s="288"/>
      <c r="D651" s="288"/>
      <c r="E651" s="1242"/>
      <c r="F651" s="288"/>
      <c r="G651" s="288"/>
      <c r="H651" s="1015"/>
      <c r="I651" s="1015"/>
      <c r="J651" s="1015"/>
      <c r="K651" s="288"/>
      <c r="L651" s="302"/>
      <c r="M651" s="302"/>
      <c r="N651" s="302"/>
    </row>
    <row r="652" spans="1:14" x14ac:dyDescent="0.25">
      <c r="A652" s="302"/>
      <c r="B652" s="302"/>
      <c r="C652" s="288"/>
      <c r="D652" s="288"/>
      <c r="E652" s="1242"/>
      <c r="F652" s="288"/>
      <c r="G652" s="288"/>
      <c r="H652" s="1015"/>
      <c r="I652" s="1015"/>
      <c r="J652" s="1015"/>
      <c r="K652" s="288"/>
      <c r="L652" s="302"/>
      <c r="M652" s="302"/>
      <c r="N652" s="302"/>
    </row>
    <row r="653" spans="1:14" x14ac:dyDescent="0.25">
      <c r="A653" s="302"/>
      <c r="B653" s="302"/>
      <c r="C653" s="288"/>
      <c r="D653" s="288"/>
      <c r="E653" s="1242"/>
      <c r="F653" s="288"/>
      <c r="G653" s="288"/>
      <c r="H653" s="1015"/>
      <c r="I653" s="1015"/>
      <c r="J653" s="1015"/>
      <c r="K653" s="288"/>
      <c r="L653" s="302"/>
      <c r="M653" s="302"/>
      <c r="N653" s="302"/>
    </row>
    <row r="654" spans="1:14" x14ac:dyDescent="0.25">
      <c r="A654" s="302"/>
      <c r="B654" s="302"/>
      <c r="C654" s="288"/>
      <c r="D654" s="288"/>
      <c r="E654" s="1242"/>
      <c r="F654" s="288"/>
      <c r="G654" s="288"/>
      <c r="H654" s="1015"/>
      <c r="I654" s="1015"/>
      <c r="J654" s="1015"/>
      <c r="K654" s="288"/>
      <c r="L654" s="302"/>
      <c r="M654" s="302"/>
      <c r="N654" s="302"/>
    </row>
    <row r="655" spans="1:14" x14ac:dyDescent="0.25">
      <c r="A655" s="302"/>
      <c r="B655" s="302"/>
      <c r="C655" s="288"/>
      <c r="D655" s="288"/>
      <c r="E655" s="1242"/>
      <c r="F655" s="288"/>
      <c r="G655" s="288"/>
      <c r="H655" s="1015"/>
      <c r="I655" s="1015"/>
      <c r="J655" s="1015"/>
      <c r="K655" s="288"/>
      <c r="L655" s="302"/>
      <c r="M655" s="302"/>
      <c r="N655" s="302"/>
    </row>
    <row r="656" spans="1:14" x14ac:dyDescent="0.25">
      <c r="A656" s="302"/>
      <c r="B656" s="302"/>
      <c r="C656" s="288"/>
      <c r="D656" s="288"/>
      <c r="E656" s="1242"/>
      <c r="F656" s="288"/>
      <c r="G656" s="288"/>
      <c r="H656" s="1015"/>
      <c r="I656" s="1015"/>
      <c r="J656" s="1015"/>
      <c r="K656" s="288"/>
      <c r="L656" s="302"/>
      <c r="M656" s="302"/>
      <c r="N656" s="302"/>
    </row>
    <row r="657" spans="1:14" x14ac:dyDescent="0.25">
      <c r="A657" s="302"/>
      <c r="B657" s="302"/>
      <c r="C657" s="288"/>
      <c r="D657" s="288"/>
      <c r="E657" s="1242"/>
      <c r="F657" s="288"/>
      <c r="G657" s="288"/>
      <c r="H657" s="1015"/>
      <c r="I657" s="1015"/>
      <c r="J657" s="1015"/>
      <c r="K657" s="288"/>
      <c r="L657" s="302"/>
      <c r="M657" s="302"/>
      <c r="N657" s="302"/>
    </row>
    <row r="658" spans="1:14" x14ac:dyDescent="0.25">
      <c r="A658" s="302"/>
      <c r="B658" s="302"/>
      <c r="C658" s="288"/>
      <c r="D658" s="288"/>
      <c r="E658" s="1242"/>
      <c r="F658" s="288"/>
      <c r="G658" s="288"/>
      <c r="H658" s="1015"/>
      <c r="I658" s="1015"/>
      <c r="J658" s="1015"/>
      <c r="K658" s="288"/>
      <c r="L658" s="302"/>
      <c r="M658" s="302"/>
      <c r="N658" s="302"/>
    </row>
    <row r="659" spans="1:14" x14ac:dyDescent="0.25">
      <c r="A659" s="302"/>
      <c r="B659" s="302"/>
      <c r="C659" s="288"/>
      <c r="D659" s="288"/>
      <c r="E659" s="1242"/>
      <c r="F659" s="288"/>
      <c r="G659" s="288"/>
      <c r="H659" s="1015"/>
      <c r="I659" s="1015"/>
      <c r="J659" s="1015"/>
      <c r="K659" s="288"/>
      <c r="L659" s="302"/>
      <c r="M659" s="302"/>
      <c r="N659" s="302"/>
    </row>
    <row r="660" spans="1:14" x14ac:dyDescent="0.25">
      <c r="A660" s="302"/>
      <c r="B660" s="302"/>
      <c r="C660" s="288"/>
      <c r="D660" s="288"/>
      <c r="E660" s="1242"/>
      <c r="F660" s="288"/>
      <c r="G660" s="288"/>
      <c r="H660" s="1015"/>
      <c r="I660" s="1015"/>
      <c r="J660" s="1015"/>
      <c r="K660" s="288"/>
      <c r="L660" s="302"/>
      <c r="M660" s="302"/>
      <c r="N660" s="302"/>
    </row>
    <row r="661" spans="1:14" x14ac:dyDescent="0.25">
      <c r="A661" s="302"/>
      <c r="B661" s="302"/>
      <c r="C661" s="288"/>
      <c r="D661" s="288"/>
      <c r="E661" s="1242"/>
      <c r="F661" s="288"/>
      <c r="G661" s="288"/>
      <c r="H661" s="1015"/>
      <c r="I661" s="1015"/>
      <c r="J661" s="1015"/>
      <c r="K661" s="288"/>
      <c r="L661" s="302"/>
      <c r="M661" s="302"/>
      <c r="N661" s="302"/>
    </row>
    <row r="662" spans="1:14" x14ac:dyDescent="0.25">
      <c r="A662" s="302"/>
      <c r="B662" s="302"/>
      <c r="C662" s="288"/>
      <c r="D662" s="288"/>
      <c r="E662" s="1242"/>
      <c r="F662" s="288"/>
      <c r="G662" s="288"/>
      <c r="H662" s="1015"/>
      <c r="I662" s="1015"/>
      <c r="J662" s="1015"/>
      <c r="K662" s="288"/>
      <c r="L662" s="302"/>
      <c r="M662" s="302"/>
      <c r="N662" s="302"/>
    </row>
    <row r="663" spans="1:14" x14ac:dyDescent="0.25">
      <c r="A663" s="302"/>
      <c r="B663" s="302"/>
      <c r="C663" s="288"/>
      <c r="D663" s="288"/>
      <c r="E663" s="1242"/>
      <c r="F663" s="288"/>
      <c r="G663" s="288"/>
      <c r="H663" s="1015"/>
      <c r="I663" s="1015"/>
      <c r="J663" s="1015"/>
      <c r="K663" s="288"/>
      <c r="L663" s="302"/>
      <c r="M663" s="302"/>
      <c r="N663" s="302"/>
    </row>
    <row r="664" spans="1:14" x14ac:dyDescent="0.25">
      <c r="A664" s="302"/>
      <c r="B664" s="302"/>
      <c r="C664" s="288"/>
      <c r="D664" s="288"/>
      <c r="E664" s="1242"/>
      <c r="F664" s="288"/>
      <c r="G664" s="288"/>
      <c r="H664" s="1015"/>
      <c r="I664" s="1015"/>
      <c r="J664" s="1015"/>
      <c r="K664" s="288"/>
      <c r="L664" s="302"/>
      <c r="M664" s="302"/>
      <c r="N664" s="302"/>
    </row>
    <row r="665" spans="1:14" x14ac:dyDescent="0.25">
      <c r="A665" s="302"/>
      <c r="B665" s="302"/>
      <c r="C665" s="288"/>
      <c r="D665" s="288"/>
      <c r="E665" s="1242"/>
      <c r="F665" s="288"/>
      <c r="G665" s="288"/>
      <c r="H665" s="1015"/>
      <c r="I665" s="1015"/>
      <c r="J665" s="1015"/>
      <c r="K665" s="288"/>
      <c r="L665" s="302"/>
      <c r="M665" s="302"/>
      <c r="N665" s="302"/>
    </row>
    <row r="666" spans="1:14" x14ac:dyDescent="0.25">
      <c r="A666" s="302"/>
      <c r="B666" s="302"/>
      <c r="C666" s="288"/>
      <c r="D666" s="288"/>
      <c r="E666" s="1242"/>
      <c r="F666" s="288"/>
      <c r="G666" s="288"/>
      <c r="H666" s="1015"/>
      <c r="I666" s="1015"/>
      <c r="J666" s="1015"/>
      <c r="K666" s="288"/>
      <c r="L666" s="302"/>
      <c r="M666" s="302"/>
      <c r="N666" s="302"/>
    </row>
    <row r="667" spans="1:14" x14ac:dyDescent="0.25">
      <c r="A667" s="302"/>
      <c r="B667" s="302"/>
      <c r="C667" s="288"/>
      <c r="D667" s="288"/>
      <c r="E667" s="1242"/>
      <c r="F667" s="288"/>
      <c r="G667" s="288"/>
      <c r="H667" s="1015"/>
      <c r="I667" s="1015"/>
      <c r="J667" s="1015"/>
      <c r="K667" s="288"/>
      <c r="L667" s="302"/>
      <c r="M667" s="302"/>
      <c r="N667" s="302"/>
    </row>
    <row r="668" spans="1:14" x14ac:dyDescent="0.25">
      <c r="A668" s="302"/>
      <c r="B668" s="302"/>
      <c r="C668" s="288"/>
      <c r="D668" s="288"/>
      <c r="E668" s="1242"/>
      <c r="F668" s="288"/>
      <c r="G668" s="288"/>
      <c r="H668" s="1015"/>
      <c r="I668" s="1015"/>
      <c r="J668" s="1015"/>
      <c r="K668" s="288"/>
      <c r="L668" s="302"/>
      <c r="M668" s="302"/>
      <c r="N668" s="302"/>
    </row>
    <row r="669" spans="1:14" x14ac:dyDescent="0.25">
      <c r="A669" s="302"/>
      <c r="B669" s="302"/>
      <c r="C669" s="288"/>
      <c r="D669" s="288"/>
      <c r="E669" s="1242"/>
      <c r="F669" s="288"/>
      <c r="G669" s="288"/>
      <c r="H669" s="1015"/>
      <c r="I669" s="1015"/>
      <c r="J669" s="1015"/>
      <c r="K669" s="288"/>
      <c r="L669" s="302"/>
      <c r="M669" s="302"/>
      <c r="N669" s="302"/>
    </row>
    <row r="670" spans="1:14" x14ac:dyDescent="0.25">
      <c r="A670" s="302"/>
      <c r="B670" s="302"/>
      <c r="C670" s="288"/>
      <c r="D670" s="288"/>
      <c r="E670" s="1242"/>
      <c r="F670" s="288"/>
      <c r="G670" s="288"/>
      <c r="H670" s="1015"/>
      <c r="I670" s="1015"/>
      <c r="J670" s="1015"/>
      <c r="K670" s="288"/>
      <c r="L670" s="302"/>
      <c r="M670" s="302"/>
      <c r="N670" s="302"/>
    </row>
    <row r="671" spans="1:14" x14ac:dyDescent="0.25">
      <c r="A671" s="302"/>
      <c r="B671" s="302"/>
      <c r="C671" s="288"/>
      <c r="D671" s="288"/>
      <c r="E671" s="1242"/>
      <c r="F671" s="288"/>
      <c r="G671" s="288"/>
      <c r="H671" s="1015"/>
      <c r="I671" s="1015"/>
      <c r="J671" s="1015"/>
      <c r="K671" s="288"/>
      <c r="L671" s="302"/>
      <c r="M671" s="302"/>
      <c r="N671" s="302"/>
    </row>
    <row r="672" spans="1:14" x14ac:dyDescent="0.25">
      <c r="A672" s="302"/>
      <c r="B672" s="302"/>
      <c r="C672" s="288"/>
      <c r="D672" s="288"/>
      <c r="E672" s="1242"/>
      <c r="F672" s="288"/>
      <c r="G672" s="288"/>
      <c r="H672" s="1015"/>
      <c r="I672" s="1015"/>
      <c r="J672" s="1015"/>
      <c r="K672" s="288"/>
      <c r="L672" s="302"/>
      <c r="M672" s="302"/>
      <c r="N672" s="302"/>
    </row>
    <row r="673" spans="1:14" x14ac:dyDescent="0.25">
      <c r="A673" s="302"/>
      <c r="B673" s="302"/>
      <c r="C673" s="288"/>
      <c r="D673" s="288"/>
      <c r="E673" s="1242"/>
      <c r="F673" s="288"/>
      <c r="G673" s="288"/>
      <c r="H673" s="1015"/>
      <c r="I673" s="1015"/>
      <c r="J673" s="1015"/>
      <c r="K673" s="288"/>
      <c r="L673" s="302"/>
      <c r="M673" s="302"/>
      <c r="N673" s="302"/>
    </row>
    <row r="674" spans="1:14" x14ac:dyDescent="0.25">
      <c r="A674" s="302"/>
      <c r="B674" s="302"/>
      <c r="C674" s="288"/>
      <c r="D674" s="288"/>
      <c r="E674" s="1242"/>
      <c r="F674" s="288"/>
      <c r="G674" s="288"/>
      <c r="H674" s="1015"/>
      <c r="I674" s="1015"/>
      <c r="J674" s="1015"/>
      <c r="K674" s="288"/>
      <c r="L674" s="302"/>
      <c r="M674" s="302"/>
      <c r="N674" s="302"/>
    </row>
    <row r="675" spans="1:14" x14ac:dyDescent="0.25">
      <c r="A675" s="302"/>
      <c r="B675" s="302"/>
      <c r="C675" s="288"/>
      <c r="D675" s="288"/>
      <c r="E675" s="1242"/>
      <c r="F675" s="288"/>
      <c r="G675" s="288"/>
      <c r="H675" s="1015"/>
      <c r="I675" s="1015"/>
      <c r="J675" s="1015"/>
      <c r="K675" s="288"/>
      <c r="L675" s="302"/>
      <c r="M675" s="302"/>
      <c r="N675" s="302"/>
    </row>
    <row r="676" spans="1:14" x14ac:dyDescent="0.25">
      <c r="A676" s="302"/>
      <c r="B676" s="302"/>
      <c r="C676" s="288"/>
      <c r="D676" s="288"/>
      <c r="E676" s="1242"/>
      <c r="F676" s="288"/>
      <c r="G676" s="288"/>
      <c r="H676" s="1015"/>
      <c r="I676" s="1015"/>
      <c r="J676" s="1015"/>
      <c r="K676" s="288"/>
      <c r="L676" s="302"/>
      <c r="M676" s="302"/>
      <c r="N676" s="302"/>
    </row>
    <row r="677" spans="1:14" x14ac:dyDescent="0.25">
      <c r="A677" s="302"/>
      <c r="B677" s="302"/>
      <c r="C677" s="288"/>
      <c r="D677" s="288"/>
      <c r="E677" s="1242"/>
      <c r="F677" s="288"/>
      <c r="G677" s="288"/>
      <c r="H677" s="1015"/>
      <c r="I677" s="1015"/>
      <c r="J677" s="1015"/>
      <c r="K677" s="288"/>
      <c r="L677" s="302"/>
      <c r="M677" s="302"/>
      <c r="N677" s="302"/>
    </row>
    <row r="678" spans="1:14" x14ac:dyDescent="0.25">
      <c r="A678" s="302"/>
      <c r="B678" s="302"/>
      <c r="C678" s="288"/>
      <c r="D678" s="288"/>
      <c r="E678" s="1242"/>
      <c r="F678" s="288"/>
      <c r="G678" s="288"/>
      <c r="H678" s="1015"/>
      <c r="I678" s="1015"/>
      <c r="J678" s="1015"/>
      <c r="K678" s="288"/>
      <c r="L678" s="302"/>
      <c r="M678" s="302"/>
      <c r="N678" s="302"/>
    </row>
    <row r="679" spans="1:14" x14ac:dyDescent="0.25">
      <c r="A679" s="302"/>
      <c r="B679" s="302"/>
      <c r="C679" s="288"/>
      <c r="D679" s="288"/>
      <c r="E679" s="1242"/>
      <c r="F679" s="288"/>
      <c r="G679" s="288"/>
      <c r="H679" s="1015"/>
      <c r="I679" s="1015"/>
      <c r="J679" s="1015"/>
      <c r="K679" s="288"/>
      <c r="L679" s="302"/>
      <c r="M679" s="302"/>
      <c r="N679" s="302"/>
    </row>
    <row r="680" spans="1:14" x14ac:dyDescent="0.25">
      <c r="A680" s="302"/>
      <c r="B680" s="302"/>
      <c r="C680" s="288"/>
      <c r="D680" s="288"/>
      <c r="E680" s="1242"/>
      <c r="F680" s="288"/>
      <c r="G680" s="288"/>
      <c r="H680" s="1015"/>
      <c r="I680" s="1015"/>
      <c r="J680" s="1015"/>
      <c r="K680" s="288"/>
      <c r="L680" s="302"/>
      <c r="M680" s="302"/>
      <c r="N680" s="302"/>
    </row>
    <row r="681" spans="1:14" x14ac:dyDescent="0.25">
      <c r="A681" s="302"/>
      <c r="B681" s="302"/>
      <c r="C681" s="288"/>
      <c r="D681" s="288"/>
      <c r="E681" s="1242"/>
      <c r="F681" s="288"/>
      <c r="G681" s="288"/>
      <c r="H681" s="1015"/>
      <c r="I681" s="1015"/>
      <c r="J681" s="1015"/>
      <c r="K681" s="288"/>
      <c r="L681" s="302"/>
      <c r="M681" s="302"/>
      <c r="N681" s="302"/>
    </row>
    <row r="682" spans="1:14" x14ac:dyDescent="0.25">
      <c r="A682" s="302"/>
      <c r="B682" s="302"/>
      <c r="C682" s="288"/>
      <c r="D682" s="288"/>
      <c r="E682" s="1242"/>
      <c r="F682" s="288"/>
      <c r="G682" s="288"/>
      <c r="H682" s="1015"/>
      <c r="I682" s="1015"/>
      <c r="J682" s="1015"/>
      <c r="K682" s="288"/>
      <c r="L682" s="302"/>
      <c r="M682" s="302"/>
      <c r="N682" s="302"/>
    </row>
    <row r="683" spans="1:14" x14ac:dyDescent="0.25">
      <c r="A683" s="302"/>
      <c r="B683" s="302"/>
      <c r="C683" s="288"/>
      <c r="D683" s="288"/>
      <c r="E683" s="1242"/>
      <c r="F683" s="288"/>
      <c r="G683" s="288"/>
      <c r="H683" s="1015"/>
      <c r="I683" s="1015"/>
      <c r="J683" s="1015"/>
      <c r="K683" s="288"/>
      <c r="L683" s="302"/>
      <c r="M683" s="302"/>
      <c r="N683" s="302"/>
    </row>
    <row r="684" spans="1:14" x14ac:dyDescent="0.25">
      <c r="A684" s="302"/>
      <c r="B684" s="302"/>
      <c r="C684" s="288"/>
      <c r="D684" s="288"/>
      <c r="E684" s="1242"/>
      <c r="F684" s="288"/>
      <c r="G684" s="288"/>
      <c r="H684" s="1015"/>
      <c r="I684" s="1015"/>
      <c r="J684" s="1015"/>
      <c r="K684" s="288"/>
      <c r="L684" s="302"/>
      <c r="M684" s="302"/>
      <c r="N684" s="302"/>
    </row>
    <row r="685" spans="1:14" x14ac:dyDescent="0.25">
      <c r="A685" s="302"/>
      <c r="B685" s="302"/>
      <c r="C685" s="288"/>
      <c r="D685" s="288"/>
      <c r="E685" s="1242"/>
      <c r="F685" s="288"/>
      <c r="G685" s="288"/>
      <c r="H685" s="1015"/>
      <c r="I685" s="1015"/>
      <c r="J685" s="1015"/>
      <c r="K685" s="288"/>
      <c r="L685" s="302"/>
      <c r="M685" s="302"/>
      <c r="N685" s="302"/>
    </row>
    <row r="686" spans="1:14" x14ac:dyDescent="0.25">
      <c r="A686" s="302"/>
      <c r="B686" s="302"/>
      <c r="C686" s="288"/>
      <c r="D686" s="288"/>
      <c r="E686" s="1242"/>
      <c r="F686" s="288"/>
      <c r="G686" s="288"/>
      <c r="H686" s="1015"/>
      <c r="I686" s="1015"/>
      <c r="J686" s="1015"/>
      <c r="K686" s="288"/>
      <c r="L686" s="302"/>
      <c r="M686" s="302"/>
      <c r="N686" s="302"/>
    </row>
    <row r="687" spans="1:14" x14ac:dyDescent="0.25">
      <c r="A687" s="302"/>
      <c r="B687" s="302"/>
      <c r="C687" s="288"/>
      <c r="D687" s="288"/>
      <c r="E687" s="1242"/>
      <c r="F687" s="288"/>
      <c r="G687" s="288"/>
      <c r="H687" s="1015"/>
      <c r="I687" s="1015"/>
      <c r="J687" s="1015"/>
      <c r="K687" s="288"/>
      <c r="L687" s="302"/>
      <c r="M687" s="302"/>
      <c r="N687" s="302"/>
    </row>
    <row r="688" spans="1:14" x14ac:dyDescent="0.25">
      <c r="A688" s="302"/>
      <c r="B688" s="302"/>
      <c r="C688" s="288"/>
      <c r="D688" s="288"/>
      <c r="E688" s="1242"/>
      <c r="F688" s="288"/>
      <c r="G688" s="288"/>
      <c r="H688" s="1015"/>
      <c r="I688" s="1015"/>
      <c r="J688" s="1015"/>
      <c r="K688" s="288"/>
      <c r="L688" s="302"/>
      <c r="M688" s="302"/>
      <c r="N688" s="302"/>
    </row>
    <row r="689" spans="1:14" x14ac:dyDescent="0.25">
      <c r="A689" s="302"/>
      <c r="B689" s="302"/>
      <c r="C689" s="288"/>
      <c r="D689" s="288"/>
      <c r="E689" s="1242"/>
      <c r="F689" s="288"/>
      <c r="G689" s="288"/>
      <c r="H689" s="1015"/>
      <c r="I689" s="1015"/>
      <c r="J689" s="1015"/>
      <c r="K689" s="288"/>
      <c r="L689" s="302"/>
      <c r="M689" s="302"/>
      <c r="N689" s="302"/>
    </row>
    <row r="690" spans="1:14" x14ac:dyDescent="0.25">
      <c r="A690" s="302"/>
      <c r="B690" s="302"/>
      <c r="C690" s="288"/>
      <c r="D690" s="288"/>
      <c r="E690" s="1242"/>
      <c r="F690" s="288"/>
      <c r="G690" s="288"/>
      <c r="H690" s="1015"/>
      <c r="I690" s="1015"/>
      <c r="J690" s="1015"/>
      <c r="K690" s="288"/>
      <c r="L690" s="302"/>
      <c r="M690" s="302"/>
      <c r="N690" s="302"/>
    </row>
    <row r="691" spans="1:14" x14ac:dyDescent="0.25">
      <c r="A691" s="302"/>
      <c r="B691" s="302"/>
      <c r="C691" s="288"/>
      <c r="D691" s="288"/>
      <c r="E691" s="1242"/>
      <c r="F691" s="288"/>
      <c r="G691" s="288"/>
      <c r="H691" s="1015"/>
      <c r="I691" s="1015"/>
      <c r="J691" s="1015"/>
      <c r="K691" s="288"/>
      <c r="L691" s="302"/>
      <c r="M691" s="302"/>
      <c r="N691" s="302"/>
    </row>
    <row r="692" spans="1:14" x14ac:dyDescent="0.25">
      <c r="A692" s="302"/>
      <c r="B692" s="302"/>
      <c r="C692" s="288"/>
      <c r="D692" s="288"/>
      <c r="E692" s="1242"/>
      <c r="F692" s="288"/>
      <c r="G692" s="288"/>
      <c r="H692" s="1015"/>
      <c r="I692" s="1015"/>
      <c r="J692" s="1015"/>
      <c r="K692" s="288"/>
      <c r="L692" s="302"/>
      <c r="M692" s="302"/>
      <c r="N692" s="302"/>
    </row>
    <row r="693" spans="1:14" x14ac:dyDescent="0.25">
      <c r="A693" s="302"/>
      <c r="B693" s="302"/>
      <c r="C693" s="288"/>
      <c r="D693" s="288"/>
      <c r="E693" s="1242"/>
      <c r="F693" s="288"/>
      <c r="G693" s="288"/>
      <c r="H693" s="1015"/>
      <c r="I693" s="1015"/>
      <c r="J693" s="1015"/>
      <c r="K693" s="288"/>
      <c r="L693" s="302"/>
      <c r="M693" s="302"/>
      <c r="N693" s="302"/>
    </row>
    <row r="694" spans="1:14" x14ac:dyDescent="0.25">
      <c r="A694" s="302"/>
      <c r="B694" s="302"/>
      <c r="C694" s="288"/>
      <c r="D694" s="288"/>
      <c r="E694" s="1242"/>
      <c r="F694" s="288"/>
      <c r="G694" s="288"/>
      <c r="H694" s="1015"/>
      <c r="I694" s="1015"/>
      <c r="J694" s="1015"/>
      <c r="K694" s="288"/>
      <c r="L694" s="302"/>
      <c r="M694" s="302"/>
      <c r="N694" s="302"/>
    </row>
    <row r="695" spans="1:14" x14ac:dyDescent="0.25">
      <c r="A695" s="302"/>
      <c r="B695" s="302"/>
      <c r="C695" s="288"/>
      <c r="D695" s="288"/>
      <c r="E695" s="1242"/>
      <c r="F695" s="288"/>
      <c r="G695" s="288"/>
      <c r="H695" s="1015"/>
      <c r="I695" s="1015"/>
      <c r="J695" s="1015"/>
      <c r="K695" s="288"/>
      <c r="L695" s="302"/>
      <c r="M695" s="302"/>
      <c r="N695" s="302"/>
    </row>
    <row r="696" spans="1:14" x14ac:dyDescent="0.25">
      <c r="A696" s="302"/>
      <c r="B696" s="302"/>
      <c r="C696" s="288"/>
      <c r="D696" s="288"/>
      <c r="E696" s="1242"/>
      <c r="F696" s="288"/>
      <c r="G696" s="288"/>
      <c r="H696" s="1015"/>
      <c r="I696" s="1015"/>
      <c r="J696" s="1015"/>
      <c r="K696" s="288"/>
      <c r="L696" s="302"/>
      <c r="M696" s="302"/>
      <c r="N696" s="302"/>
    </row>
    <row r="697" spans="1:14" x14ac:dyDescent="0.25">
      <c r="A697" s="302"/>
      <c r="B697" s="302"/>
      <c r="C697" s="288"/>
      <c r="D697" s="288"/>
      <c r="E697" s="1242"/>
      <c r="F697" s="288"/>
      <c r="G697" s="288"/>
      <c r="H697" s="1015"/>
      <c r="I697" s="1015"/>
      <c r="J697" s="1015"/>
      <c r="K697" s="288"/>
      <c r="L697" s="302"/>
      <c r="M697" s="302"/>
      <c r="N697" s="302"/>
    </row>
    <row r="698" spans="1:14" x14ac:dyDescent="0.25">
      <c r="A698" s="302"/>
      <c r="B698" s="302"/>
      <c r="C698" s="288"/>
      <c r="D698" s="288"/>
      <c r="E698" s="1242"/>
      <c r="F698" s="288"/>
      <c r="G698" s="288"/>
      <c r="H698" s="1015"/>
      <c r="I698" s="1015"/>
      <c r="J698" s="1015"/>
      <c r="K698" s="288"/>
      <c r="L698" s="302"/>
      <c r="M698" s="302"/>
      <c r="N698" s="302"/>
    </row>
    <row r="699" spans="1:14" x14ac:dyDescent="0.25">
      <c r="A699" s="302"/>
      <c r="B699" s="302"/>
      <c r="C699" s="288"/>
      <c r="D699" s="288"/>
      <c r="E699" s="1242"/>
      <c r="F699" s="288"/>
      <c r="G699" s="288"/>
      <c r="H699" s="1015"/>
      <c r="I699" s="1015"/>
      <c r="J699" s="1015"/>
      <c r="K699" s="288"/>
      <c r="L699" s="302"/>
      <c r="M699" s="302"/>
      <c r="N699" s="302"/>
    </row>
    <row r="700" spans="1:14" x14ac:dyDescent="0.25">
      <c r="A700" s="302"/>
      <c r="B700" s="302"/>
      <c r="C700" s="288"/>
      <c r="D700" s="288"/>
      <c r="E700" s="1242"/>
      <c r="F700" s="288"/>
      <c r="G700" s="288"/>
      <c r="H700" s="1015"/>
      <c r="I700" s="1015"/>
      <c r="J700" s="1015"/>
      <c r="K700" s="288"/>
      <c r="L700" s="302"/>
      <c r="M700" s="302"/>
      <c r="N700" s="302"/>
    </row>
    <row r="701" spans="1:14" x14ac:dyDescent="0.25">
      <c r="A701" s="302"/>
      <c r="B701" s="302"/>
      <c r="C701" s="288"/>
      <c r="D701" s="288"/>
      <c r="E701" s="1242"/>
      <c r="F701" s="288"/>
      <c r="G701" s="288"/>
      <c r="H701" s="1015"/>
      <c r="I701" s="1015"/>
      <c r="J701" s="1015"/>
      <c r="K701" s="288"/>
      <c r="L701" s="302"/>
      <c r="M701" s="302"/>
      <c r="N701" s="302"/>
    </row>
    <row r="702" spans="1:14" x14ac:dyDescent="0.25">
      <c r="A702" s="302"/>
      <c r="B702" s="302"/>
      <c r="C702" s="288"/>
      <c r="D702" s="288"/>
      <c r="E702" s="1242"/>
      <c r="F702" s="288"/>
      <c r="G702" s="288"/>
      <c r="H702" s="1015"/>
      <c r="I702" s="1015"/>
      <c r="J702" s="1015"/>
      <c r="K702" s="288"/>
      <c r="L702" s="302"/>
      <c r="M702" s="302"/>
      <c r="N702" s="302"/>
    </row>
    <row r="703" spans="1:14" x14ac:dyDescent="0.25">
      <c r="A703" s="302"/>
      <c r="B703" s="302"/>
      <c r="C703" s="288"/>
      <c r="D703" s="288"/>
      <c r="E703" s="1242"/>
      <c r="F703" s="288"/>
      <c r="G703" s="288"/>
      <c r="H703" s="1015"/>
      <c r="I703" s="1015"/>
      <c r="J703" s="1015"/>
      <c r="K703" s="288"/>
      <c r="L703" s="302"/>
      <c r="M703" s="302"/>
      <c r="N703" s="302"/>
    </row>
    <row r="704" spans="1:14" x14ac:dyDescent="0.25">
      <c r="A704" s="302"/>
      <c r="B704" s="302"/>
      <c r="C704" s="288"/>
      <c r="D704" s="288"/>
      <c r="E704" s="1242"/>
      <c r="F704" s="288"/>
      <c r="G704" s="288"/>
      <c r="H704" s="1015"/>
      <c r="I704" s="1015"/>
      <c r="J704" s="1015"/>
      <c r="K704" s="288"/>
      <c r="L704" s="302"/>
      <c r="M704" s="302"/>
      <c r="N704" s="302"/>
    </row>
    <row r="705" spans="1:14" x14ac:dyDescent="0.25">
      <c r="A705" s="302"/>
      <c r="B705" s="302"/>
      <c r="C705" s="288"/>
      <c r="D705" s="288"/>
      <c r="E705" s="1242"/>
      <c r="F705" s="288"/>
      <c r="G705" s="288"/>
      <c r="H705" s="1015"/>
      <c r="I705" s="1015"/>
      <c r="J705" s="1015"/>
      <c r="K705" s="288"/>
      <c r="L705" s="302"/>
      <c r="M705" s="302"/>
      <c r="N705" s="302"/>
    </row>
    <row r="706" spans="1:14" x14ac:dyDescent="0.25">
      <c r="A706" s="302"/>
      <c r="B706" s="302"/>
      <c r="C706" s="288"/>
      <c r="D706" s="288"/>
      <c r="E706" s="1242"/>
      <c r="F706" s="288"/>
      <c r="G706" s="288"/>
      <c r="H706" s="1015"/>
      <c r="I706" s="1015"/>
      <c r="J706" s="1015"/>
      <c r="K706" s="288"/>
      <c r="L706" s="302"/>
      <c r="M706" s="302"/>
      <c r="N706" s="302"/>
    </row>
    <row r="707" spans="1:14" x14ac:dyDescent="0.25">
      <c r="A707" s="302"/>
      <c r="B707" s="302"/>
      <c r="C707" s="288"/>
      <c r="D707" s="288"/>
      <c r="E707" s="1242"/>
      <c r="F707" s="288"/>
      <c r="G707" s="288"/>
      <c r="H707" s="1015"/>
      <c r="I707" s="1015"/>
      <c r="J707" s="1015"/>
      <c r="K707" s="288"/>
      <c r="L707" s="302"/>
      <c r="M707" s="302"/>
      <c r="N707" s="302"/>
    </row>
    <row r="708" spans="1:14" x14ac:dyDescent="0.25">
      <c r="A708" s="302"/>
      <c r="B708" s="302"/>
      <c r="C708" s="288"/>
      <c r="D708" s="288"/>
      <c r="E708" s="1242"/>
      <c r="F708" s="288"/>
      <c r="G708" s="288"/>
      <c r="H708" s="1015"/>
      <c r="I708" s="1015"/>
      <c r="J708" s="1015"/>
      <c r="K708" s="288"/>
      <c r="L708" s="302"/>
      <c r="M708" s="302"/>
      <c r="N708" s="302"/>
    </row>
    <row r="709" spans="1:14" x14ac:dyDescent="0.25">
      <c r="A709" s="302"/>
      <c r="B709" s="302"/>
      <c r="C709" s="288"/>
      <c r="D709" s="288"/>
      <c r="E709" s="1242"/>
      <c r="F709" s="288"/>
      <c r="G709" s="288"/>
      <c r="H709" s="1015"/>
      <c r="I709" s="1015"/>
      <c r="J709" s="1015"/>
      <c r="K709" s="288"/>
      <c r="L709" s="302"/>
      <c r="M709" s="302"/>
      <c r="N709" s="302"/>
    </row>
    <row r="710" spans="1:14" x14ac:dyDescent="0.25">
      <c r="A710" s="302"/>
      <c r="B710" s="302"/>
      <c r="C710" s="288"/>
      <c r="D710" s="288"/>
      <c r="E710" s="1242"/>
      <c r="F710" s="288"/>
      <c r="G710" s="288"/>
      <c r="H710" s="1015"/>
      <c r="I710" s="1015"/>
      <c r="J710" s="1015"/>
      <c r="K710" s="288"/>
      <c r="L710" s="302"/>
      <c r="M710" s="302"/>
      <c r="N710" s="302"/>
    </row>
    <row r="711" spans="1:14" x14ac:dyDescent="0.25">
      <c r="A711" s="302"/>
      <c r="B711" s="302"/>
      <c r="C711" s="288"/>
      <c r="D711" s="288"/>
      <c r="E711" s="1242"/>
      <c r="F711" s="288"/>
      <c r="G711" s="288"/>
      <c r="H711" s="1015"/>
      <c r="I711" s="1015"/>
      <c r="J711" s="1015"/>
      <c r="K711" s="288"/>
      <c r="L711" s="302"/>
      <c r="M711" s="302"/>
      <c r="N711" s="302"/>
    </row>
    <row r="712" spans="1:14" x14ac:dyDescent="0.25">
      <c r="A712" s="302"/>
      <c r="B712" s="302"/>
      <c r="C712" s="288"/>
      <c r="D712" s="288"/>
      <c r="E712" s="1242"/>
      <c r="F712" s="288"/>
      <c r="G712" s="288"/>
      <c r="H712" s="1015"/>
      <c r="I712" s="1015"/>
      <c r="J712" s="1015"/>
      <c r="K712" s="288"/>
      <c r="L712" s="302"/>
      <c r="M712" s="302"/>
      <c r="N712" s="302"/>
    </row>
    <row r="713" spans="1:14" x14ac:dyDescent="0.25">
      <c r="A713" s="302"/>
      <c r="B713" s="302"/>
      <c r="C713" s="288"/>
      <c r="D713" s="288"/>
      <c r="E713" s="1242"/>
      <c r="F713" s="288"/>
      <c r="G713" s="288"/>
      <c r="H713" s="1015"/>
      <c r="I713" s="1015"/>
      <c r="J713" s="1015"/>
      <c r="K713" s="288"/>
      <c r="L713" s="302"/>
      <c r="M713" s="302"/>
      <c r="N713" s="302"/>
    </row>
    <row r="714" spans="1:14" x14ac:dyDescent="0.25">
      <c r="A714" s="302"/>
      <c r="B714" s="302"/>
      <c r="C714" s="288"/>
      <c r="D714" s="288"/>
      <c r="E714" s="1242"/>
      <c r="F714" s="288"/>
      <c r="G714" s="288"/>
      <c r="H714" s="1015"/>
      <c r="I714" s="1015"/>
      <c r="J714" s="1015"/>
      <c r="K714" s="288"/>
      <c r="L714" s="302"/>
      <c r="M714" s="302"/>
      <c r="N714" s="302"/>
    </row>
    <row r="715" spans="1:14" x14ac:dyDescent="0.25">
      <c r="A715" s="302"/>
      <c r="B715" s="302"/>
      <c r="C715" s="288"/>
      <c r="D715" s="288"/>
      <c r="E715" s="1242"/>
      <c r="F715" s="288"/>
      <c r="G715" s="288"/>
      <c r="H715" s="1015"/>
      <c r="I715" s="1015"/>
      <c r="J715" s="1015"/>
      <c r="K715" s="288"/>
      <c r="L715" s="302"/>
      <c r="M715" s="302"/>
      <c r="N715" s="302"/>
    </row>
    <row r="716" spans="1:14" x14ac:dyDescent="0.25">
      <c r="A716" s="302"/>
      <c r="B716" s="302"/>
      <c r="C716" s="288"/>
      <c r="D716" s="288"/>
      <c r="E716" s="1242"/>
      <c r="F716" s="288"/>
      <c r="G716" s="288"/>
      <c r="H716" s="1015"/>
      <c r="I716" s="1015"/>
      <c r="J716" s="1015"/>
      <c r="K716" s="288"/>
      <c r="L716" s="302"/>
      <c r="M716" s="302"/>
      <c r="N716" s="302"/>
    </row>
    <row r="717" spans="1:14" x14ac:dyDescent="0.25">
      <c r="A717" s="302"/>
      <c r="B717" s="302"/>
      <c r="C717" s="288"/>
      <c r="D717" s="288"/>
      <c r="E717" s="1242"/>
      <c r="F717" s="288"/>
      <c r="G717" s="288"/>
      <c r="H717" s="1015"/>
      <c r="I717" s="1015"/>
      <c r="J717" s="1015"/>
      <c r="K717" s="288"/>
      <c r="L717" s="302"/>
      <c r="M717" s="302"/>
      <c r="N717" s="302"/>
    </row>
    <row r="718" spans="1:14" x14ac:dyDescent="0.25">
      <c r="A718" s="302"/>
      <c r="B718" s="302"/>
      <c r="C718" s="288"/>
      <c r="D718" s="288"/>
      <c r="E718" s="1242"/>
      <c r="F718" s="288"/>
      <c r="G718" s="288"/>
      <c r="H718" s="1015"/>
      <c r="I718" s="1015"/>
      <c r="J718" s="1015"/>
      <c r="K718" s="288"/>
      <c r="L718" s="302"/>
      <c r="M718" s="302"/>
      <c r="N718" s="302"/>
    </row>
    <row r="719" spans="1:14" x14ac:dyDescent="0.25">
      <c r="A719" s="302"/>
      <c r="B719" s="302"/>
      <c r="C719" s="288"/>
      <c r="D719" s="288"/>
      <c r="E719" s="1242"/>
      <c r="F719" s="288"/>
      <c r="G719" s="288"/>
      <c r="H719" s="1015"/>
      <c r="I719" s="1015"/>
      <c r="J719" s="1015"/>
      <c r="K719" s="288"/>
      <c r="L719" s="302"/>
      <c r="M719" s="302"/>
      <c r="N719" s="302"/>
    </row>
    <row r="720" spans="1:14" x14ac:dyDescent="0.25">
      <c r="A720" s="302"/>
      <c r="B720" s="302"/>
      <c r="C720" s="288"/>
      <c r="D720" s="288"/>
      <c r="E720" s="1242"/>
      <c r="F720" s="288"/>
      <c r="G720" s="288"/>
      <c r="H720" s="1015"/>
      <c r="I720" s="1015"/>
      <c r="J720" s="1015"/>
      <c r="K720" s="288"/>
      <c r="L720" s="302"/>
      <c r="M720" s="302"/>
      <c r="N720" s="302"/>
    </row>
    <row r="721" spans="1:14" x14ac:dyDescent="0.25">
      <c r="A721" s="302"/>
      <c r="B721" s="302"/>
      <c r="C721" s="288"/>
      <c r="D721" s="288"/>
      <c r="E721" s="1242"/>
      <c r="F721" s="288"/>
      <c r="G721" s="288"/>
      <c r="H721" s="1015"/>
      <c r="I721" s="1015"/>
      <c r="J721" s="1015"/>
      <c r="K721" s="288"/>
      <c r="L721" s="302"/>
      <c r="M721" s="302"/>
      <c r="N721" s="302"/>
    </row>
    <row r="722" spans="1:14" x14ac:dyDescent="0.25">
      <c r="A722" s="302"/>
      <c r="B722" s="302"/>
      <c r="C722" s="288"/>
      <c r="D722" s="288"/>
      <c r="E722" s="1242"/>
      <c r="F722" s="288"/>
      <c r="G722" s="288"/>
      <c r="H722" s="1015"/>
      <c r="I722" s="1015"/>
      <c r="J722" s="1015"/>
      <c r="K722" s="288"/>
      <c r="L722" s="302"/>
      <c r="M722" s="302"/>
      <c r="N722" s="302"/>
    </row>
    <row r="723" spans="1:14" x14ac:dyDescent="0.25">
      <c r="A723" s="302"/>
      <c r="B723" s="302"/>
      <c r="C723" s="288"/>
      <c r="D723" s="288"/>
      <c r="E723" s="1242"/>
      <c r="F723" s="288"/>
      <c r="G723" s="288"/>
      <c r="H723" s="1015"/>
      <c r="I723" s="1015"/>
      <c r="J723" s="1015"/>
      <c r="K723" s="288"/>
      <c r="L723" s="302"/>
      <c r="M723" s="302"/>
      <c r="N723" s="302"/>
    </row>
    <row r="724" spans="1:14" x14ac:dyDescent="0.25">
      <c r="A724" s="302"/>
      <c r="B724" s="302"/>
      <c r="C724" s="288"/>
      <c r="D724" s="288"/>
      <c r="E724" s="1242"/>
      <c r="F724" s="288"/>
      <c r="G724" s="288"/>
      <c r="H724" s="1015"/>
      <c r="I724" s="1015"/>
      <c r="J724" s="1015"/>
      <c r="K724" s="288"/>
      <c r="L724" s="302"/>
      <c r="M724" s="302"/>
      <c r="N724" s="302"/>
    </row>
    <row r="725" spans="1:14" x14ac:dyDescent="0.25">
      <c r="A725" s="302"/>
      <c r="B725" s="302"/>
      <c r="C725" s="288"/>
      <c r="D725" s="288"/>
      <c r="E725" s="1242"/>
      <c r="F725" s="288"/>
      <c r="G725" s="288"/>
      <c r="H725" s="1015"/>
      <c r="I725" s="1015"/>
      <c r="J725" s="1015"/>
      <c r="K725" s="288"/>
      <c r="L725" s="302"/>
      <c r="M725" s="302"/>
      <c r="N725" s="302"/>
    </row>
    <row r="726" spans="1:14" x14ac:dyDescent="0.25">
      <c r="A726" s="302"/>
      <c r="B726" s="302"/>
      <c r="C726" s="288"/>
      <c r="D726" s="288"/>
      <c r="E726" s="1242"/>
      <c r="F726" s="288"/>
      <c r="G726" s="288"/>
      <c r="H726" s="1015"/>
      <c r="I726" s="1015"/>
      <c r="J726" s="1015"/>
      <c r="K726" s="288"/>
      <c r="L726" s="302"/>
      <c r="M726" s="302"/>
      <c r="N726" s="302"/>
    </row>
    <row r="727" spans="1:14" x14ac:dyDescent="0.25">
      <c r="A727" s="302"/>
      <c r="B727" s="302"/>
      <c r="C727" s="288"/>
      <c r="D727" s="288"/>
      <c r="E727" s="1242"/>
      <c r="F727" s="288"/>
      <c r="G727" s="288"/>
      <c r="H727" s="1015"/>
      <c r="I727" s="1015"/>
      <c r="J727" s="1015"/>
      <c r="K727" s="288"/>
      <c r="L727" s="302"/>
      <c r="M727" s="302"/>
      <c r="N727" s="302"/>
    </row>
    <row r="728" spans="1:14" x14ac:dyDescent="0.25">
      <c r="A728" s="302"/>
      <c r="B728" s="302"/>
      <c r="C728" s="288"/>
      <c r="D728" s="288"/>
      <c r="E728" s="1242"/>
      <c r="F728" s="288"/>
      <c r="G728" s="288"/>
      <c r="H728" s="1015"/>
      <c r="I728" s="1015"/>
      <c r="J728" s="1015"/>
      <c r="K728" s="288"/>
      <c r="L728" s="302"/>
      <c r="M728" s="302"/>
      <c r="N728" s="302"/>
    </row>
    <row r="729" spans="1:14" x14ac:dyDescent="0.25">
      <c r="A729" s="302"/>
      <c r="B729" s="302"/>
      <c r="C729" s="288"/>
      <c r="D729" s="288"/>
      <c r="E729" s="1242"/>
      <c r="F729" s="288"/>
      <c r="G729" s="288"/>
      <c r="H729" s="1015"/>
      <c r="I729" s="1015"/>
      <c r="J729" s="1015"/>
      <c r="K729" s="288"/>
      <c r="L729" s="302"/>
      <c r="M729" s="302"/>
      <c r="N729" s="302"/>
    </row>
    <row r="730" spans="1:14" x14ac:dyDescent="0.25">
      <c r="A730" s="302"/>
      <c r="B730" s="302"/>
      <c r="C730" s="288"/>
      <c r="D730" s="288"/>
      <c r="E730" s="1242"/>
      <c r="F730" s="288"/>
      <c r="G730" s="288"/>
      <c r="H730" s="1015"/>
      <c r="I730" s="1015"/>
      <c r="J730" s="1015"/>
      <c r="K730" s="288"/>
      <c r="L730" s="302"/>
      <c r="M730" s="302"/>
      <c r="N730" s="302"/>
    </row>
    <row r="731" spans="1:14" x14ac:dyDescent="0.25">
      <c r="A731" s="302"/>
      <c r="B731" s="302"/>
      <c r="C731" s="288"/>
      <c r="D731" s="288"/>
      <c r="E731" s="1242"/>
      <c r="F731" s="288"/>
      <c r="G731" s="288"/>
      <c r="H731" s="1015"/>
      <c r="I731" s="1015"/>
      <c r="J731" s="1015"/>
      <c r="K731" s="288"/>
      <c r="L731" s="302"/>
      <c r="M731" s="302"/>
      <c r="N731" s="302"/>
    </row>
    <row r="732" spans="1:14" x14ac:dyDescent="0.25">
      <c r="A732" s="302"/>
      <c r="B732" s="302"/>
      <c r="C732" s="288"/>
      <c r="D732" s="288"/>
      <c r="E732" s="1242"/>
      <c r="F732" s="288"/>
      <c r="G732" s="288"/>
      <c r="H732" s="1015"/>
      <c r="I732" s="1015"/>
      <c r="J732" s="1015"/>
      <c r="K732" s="288"/>
      <c r="L732" s="302"/>
      <c r="M732" s="302"/>
      <c r="N732" s="302"/>
    </row>
    <row r="733" spans="1:14" x14ac:dyDescent="0.25">
      <c r="A733" s="302"/>
      <c r="B733" s="302"/>
      <c r="C733" s="288"/>
      <c r="D733" s="288"/>
      <c r="E733" s="1242"/>
      <c r="F733" s="288"/>
      <c r="G733" s="288"/>
      <c r="H733" s="1015"/>
      <c r="I733" s="1015"/>
      <c r="J733" s="1015"/>
      <c r="K733" s="288"/>
      <c r="L733" s="302"/>
      <c r="M733" s="302"/>
      <c r="N733" s="302"/>
    </row>
    <row r="734" spans="1:14" x14ac:dyDescent="0.25">
      <c r="A734" s="302"/>
      <c r="B734" s="302"/>
      <c r="C734" s="288"/>
      <c r="D734" s="288"/>
      <c r="E734" s="1242"/>
      <c r="F734" s="288"/>
      <c r="G734" s="288"/>
      <c r="H734" s="1015"/>
      <c r="I734" s="1015"/>
      <c r="J734" s="1015"/>
      <c r="K734" s="288"/>
      <c r="L734" s="302"/>
      <c r="M734" s="302"/>
      <c r="N734" s="302"/>
    </row>
    <row r="735" spans="1:14" x14ac:dyDescent="0.25">
      <c r="A735" s="302"/>
      <c r="B735" s="302"/>
      <c r="C735" s="288"/>
      <c r="D735" s="288"/>
      <c r="E735" s="1242"/>
      <c r="F735" s="288"/>
      <c r="G735" s="288"/>
      <c r="H735" s="1015"/>
      <c r="I735" s="1015"/>
      <c r="J735" s="1015"/>
      <c r="K735" s="288"/>
      <c r="L735" s="302"/>
      <c r="M735" s="302"/>
      <c r="N735" s="302"/>
    </row>
    <row r="736" spans="1:14" x14ac:dyDescent="0.25">
      <c r="A736" s="302"/>
      <c r="B736" s="302"/>
      <c r="C736" s="288"/>
      <c r="D736" s="288"/>
      <c r="E736" s="1242"/>
      <c r="F736" s="288"/>
      <c r="G736" s="288"/>
      <c r="H736" s="1015"/>
      <c r="I736" s="1015"/>
      <c r="J736" s="1015"/>
      <c r="K736" s="288"/>
      <c r="L736" s="302"/>
      <c r="M736" s="302"/>
      <c r="N736" s="302"/>
    </row>
    <row r="737" spans="1:14" x14ac:dyDescent="0.25">
      <c r="A737" s="302"/>
      <c r="B737" s="302"/>
      <c r="C737" s="288"/>
      <c r="D737" s="288"/>
      <c r="E737" s="1242"/>
      <c r="F737" s="288"/>
      <c r="G737" s="288"/>
      <c r="H737" s="1015"/>
      <c r="I737" s="1015"/>
      <c r="J737" s="1015"/>
      <c r="K737" s="288"/>
      <c r="L737" s="302"/>
      <c r="M737" s="302"/>
      <c r="N737" s="302"/>
    </row>
    <row r="738" spans="1:14" x14ac:dyDescent="0.25">
      <c r="A738" s="302"/>
      <c r="B738" s="302"/>
      <c r="C738" s="288"/>
      <c r="D738" s="288"/>
      <c r="E738" s="1242"/>
      <c r="F738" s="288"/>
      <c r="G738" s="288"/>
      <c r="H738" s="1015"/>
      <c r="I738" s="1015"/>
      <c r="J738" s="1015"/>
      <c r="K738" s="288"/>
      <c r="L738" s="302"/>
      <c r="M738" s="302"/>
      <c r="N738" s="302"/>
    </row>
    <row r="739" spans="1:14" x14ac:dyDescent="0.25">
      <c r="A739" s="302"/>
      <c r="B739" s="302"/>
      <c r="C739" s="288"/>
      <c r="D739" s="288"/>
      <c r="E739" s="1242"/>
      <c r="F739" s="288"/>
      <c r="G739" s="288"/>
      <c r="H739" s="1015"/>
      <c r="I739" s="1015"/>
      <c r="J739" s="1015"/>
      <c r="K739" s="288"/>
      <c r="L739" s="302"/>
      <c r="M739" s="302"/>
      <c r="N739" s="302"/>
    </row>
    <row r="740" spans="1:14" x14ac:dyDescent="0.25">
      <c r="A740" s="302"/>
      <c r="B740" s="302"/>
      <c r="C740" s="288"/>
      <c r="D740" s="288"/>
      <c r="E740" s="1242"/>
      <c r="F740" s="288"/>
      <c r="G740" s="288"/>
      <c r="H740" s="1015"/>
      <c r="I740" s="1015"/>
      <c r="J740" s="1015"/>
      <c r="K740" s="288"/>
      <c r="L740" s="302"/>
      <c r="M740" s="302"/>
      <c r="N740" s="302"/>
    </row>
    <row r="741" spans="1:14" x14ac:dyDescent="0.25">
      <c r="A741" s="302"/>
      <c r="B741" s="302"/>
      <c r="C741" s="288"/>
      <c r="D741" s="288"/>
      <c r="E741" s="1242"/>
      <c r="F741" s="288"/>
      <c r="G741" s="288"/>
      <c r="H741" s="1015"/>
      <c r="I741" s="1015"/>
      <c r="J741" s="1015"/>
      <c r="K741" s="288"/>
      <c r="L741" s="302"/>
      <c r="M741" s="302"/>
      <c r="N741" s="302"/>
    </row>
    <row r="742" spans="1:14" x14ac:dyDescent="0.25">
      <c r="A742" s="302"/>
      <c r="B742" s="302"/>
      <c r="C742" s="288"/>
      <c r="D742" s="288"/>
      <c r="E742" s="1242"/>
      <c r="F742" s="288"/>
      <c r="G742" s="288"/>
      <c r="H742" s="1015"/>
      <c r="I742" s="1015"/>
      <c r="J742" s="1015"/>
      <c r="K742" s="288"/>
      <c r="L742" s="302"/>
      <c r="M742" s="302"/>
      <c r="N742" s="302"/>
    </row>
    <row r="743" spans="1:14" x14ac:dyDescent="0.25">
      <c r="A743" s="302"/>
      <c r="B743" s="302"/>
      <c r="C743" s="288"/>
      <c r="D743" s="288"/>
      <c r="E743" s="1242"/>
      <c r="F743" s="288"/>
      <c r="G743" s="288"/>
      <c r="H743" s="1015"/>
      <c r="I743" s="1015"/>
      <c r="J743" s="1015"/>
      <c r="K743" s="288"/>
      <c r="L743" s="302"/>
      <c r="M743" s="302"/>
      <c r="N743" s="302"/>
    </row>
    <row r="744" spans="1:14" x14ac:dyDescent="0.25">
      <c r="A744" s="302"/>
      <c r="B744" s="302"/>
      <c r="C744" s="288"/>
      <c r="D744" s="288"/>
      <c r="E744" s="1242"/>
      <c r="F744" s="288"/>
      <c r="G744" s="288"/>
      <c r="H744" s="1015"/>
      <c r="I744" s="1015"/>
      <c r="J744" s="1015"/>
      <c r="K744" s="288"/>
      <c r="L744" s="302"/>
      <c r="M744" s="302"/>
      <c r="N744" s="302"/>
    </row>
    <row r="745" spans="1:14" x14ac:dyDescent="0.25">
      <c r="A745" s="302"/>
      <c r="B745" s="302"/>
      <c r="C745" s="288"/>
      <c r="D745" s="288"/>
      <c r="E745" s="1242"/>
      <c r="F745" s="288"/>
      <c r="G745" s="288"/>
      <c r="H745" s="1015"/>
      <c r="I745" s="1015"/>
      <c r="J745" s="1015"/>
      <c r="K745" s="288"/>
      <c r="L745" s="302"/>
      <c r="M745" s="302"/>
      <c r="N745" s="302"/>
    </row>
    <row r="746" spans="1:14" x14ac:dyDescent="0.25">
      <c r="A746" s="302"/>
      <c r="B746" s="302"/>
      <c r="C746" s="288"/>
      <c r="D746" s="288"/>
      <c r="E746" s="1242"/>
      <c r="F746" s="288"/>
      <c r="G746" s="288"/>
      <c r="H746" s="1015"/>
      <c r="I746" s="1015"/>
      <c r="J746" s="1015"/>
      <c r="K746" s="288"/>
      <c r="L746" s="302"/>
      <c r="M746" s="302"/>
      <c r="N746" s="302"/>
    </row>
    <row r="747" spans="1:14" x14ac:dyDescent="0.25">
      <c r="A747" s="302"/>
      <c r="B747" s="302"/>
      <c r="C747" s="288"/>
      <c r="D747" s="288"/>
      <c r="E747" s="1242"/>
      <c r="F747" s="288"/>
      <c r="G747" s="288"/>
      <c r="H747" s="1015"/>
      <c r="I747" s="1015"/>
      <c r="J747" s="1015"/>
      <c r="K747" s="288"/>
      <c r="L747" s="302"/>
      <c r="M747" s="302"/>
      <c r="N747" s="302"/>
    </row>
    <row r="748" spans="1:14" x14ac:dyDescent="0.25">
      <c r="A748" s="302"/>
      <c r="B748" s="302"/>
      <c r="C748" s="288"/>
      <c r="D748" s="288"/>
      <c r="E748" s="1242"/>
      <c r="F748" s="288"/>
      <c r="G748" s="288"/>
      <c r="H748" s="1015"/>
      <c r="I748" s="1015"/>
      <c r="J748" s="1015"/>
      <c r="K748" s="288"/>
      <c r="L748" s="302"/>
      <c r="M748" s="302"/>
      <c r="N748" s="302"/>
    </row>
    <row r="749" spans="1:14" x14ac:dyDescent="0.25">
      <c r="A749" s="302"/>
      <c r="B749" s="302"/>
      <c r="C749" s="288"/>
      <c r="D749" s="288"/>
      <c r="E749" s="1242"/>
      <c r="F749" s="288"/>
      <c r="G749" s="288"/>
      <c r="H749" s="1015"/>
      <c r="I749" s="1015"/>
      <c r="J749" s="1015"/>
      <c r="K749" s="288"/>
      <c r="L749" s="302"/>
      <c r="M749" s="302"/>
      <c r="N749" s="302"/>
    </row>
    <row r="750" spans="1:14" x14ac:dyDescent="0.25">
      <c r="A750" s="302"/>
      <c r="B750" s="302"/>
      <c r="C750" s="288"/>
      <c r="D750" s="288"/>
      <c r="E750" s="1242"/>
      <c r="F750" s="288"/>
      <c r="G750" s="288"/>
      <c r="H750" s="1015"/>
      <c r="I750" s="1015"/>
      <c r="J750" s="1015"/>
      <c r="K750" s="288"/>
      <c r="L750" s="302"/>
      <c r="M750" s="302"/>
      <c r="N750" s="302"/>
    </row>
    <row r="751" spans="1:14" x14ac:dyDescent="0.25">
      <c r="A751" s="302"/>
      <c r="B751" s="302"/>
      <c r="C751" s="288"/>
      <c r="D751" s="288"/>
      <c r="E751" s="1242"/>
      <c r="F751" s="288"/>
      <c r="G751" s="288"/>
      <c r="H751" s="1015"/>
      <c r="I751" s="1015"/>
      <c r="J751" s="1015"/>
      <c r="K751" s="288"/>
      <c r="L751" s="302"/>
      <c r="M751" s="302"/>
      <c r="N751" s="302"/>
    </row>
    <row r="752" spans="1:14" x14ac:dyDescent="0.25">
      <c r="A752" s="302"/>
      <c r="B752" s="302"/>
      <c r="C752" s="288"/>
      <c r="D752" s="288"/>
      <c r="E752" s="1242"/>
      <c r="F752" s="288"/>
      <c r="G752" s="288"/>
      <c r="H752" s="1015"/>
      <c r="I752" s="1015"/>
      <c r="J752" s="1015"/>
      <c r="K752" s="288"/>
      <c r="L752" s="302"/>
      <c r="M752" s="302"/>
      <c r="N752" s="302"/>
    </row>
    <row r="753" spans="1:14" x14ac:dyDescent="0.25">
      <c r="A753" s="302"/>
      <c r="B753" s="302"/>
      <c r="C753" s="288"/>
      <c r="D753" s="288"/>
      <c r="E753" s="1242"/>
      <c r="F753" s="288"/>
      <c r="G753" s="288"/>
      <c r="H753" s="1015"/>
      <c r="I753" s="1015"/>
      <c r="J753" s="1015"/>
      <c r="K753" s="288"/>
      <c r="L753" s="302"/>
      <c r="M753" s="302"/>
      <c r="N753" s="302"/>
    </row>
    <row r="754" spans="1:14" x14ac:dyDescent="0.25">
      <c r="A754" s="302"/>
      <c r="B754" s="302"/>
      <c r="C754" s="288"/>
      <c r="D754" s="288"/>
      <c r="E754" s="1242"/>
      <c r="F754" s="288"/>
      <c r="G754" s="288"/>
      <c r="H754" s="1015"/>
      <c r="I754" s="1015"/>
      <c r="J754" s="1015"/>
      <c r="K754" s="288"/>
      <c r="L754" s="302"/>
      <c r="M754" s="302"/>
      <c r="N754" s="302"/>
    </row>
    <row r="755" spans="1:14" x14ac:dyDescent="0.25">
      <c r="A755" s="302"/>
      <c r="B755" s="302"/>
      <c r="C755" s="288"/>
      <c r="D755" s="288"/>
      <c r="E755" s="1242"/>
      <c r="F755" s="288"/>
      <c r="G755" s="288"/>
      <c r="H755" s="1015"/>
      <c r="I755" s="1015"/>
      <c r="J755" s="1015"/>
      <c r="K755" s="288"/>
      <c r="L755" s="302"/>
      <c r="M755" s="302"/>
      <c r="N755" s="302"/>
    </row>
    <row r="756" spans="1:14" x14ac:dyDescent="0.25">
      <c r="A756" s="302"/>
      <c r="B756" s="302"/>
      <c r="C756" s="288"/>
      <c r="D756" s="288"/>
      <c r="E756" s="1242"/>
      <c r="F756" s="288"/>
      <c r="G756" s="288"/>
      <c r="H756" s="1015"/>
      <c r="I756" s="1015"/>
      <c r="J756" s="1015"/>
      <c r="K756" s="288"/>
      <c r="L756" s="302"/>
      <c r="M756" s="302"/>
      <c r="N756" s="302"/>
    </row>
    <row r="757" spans="1:14" x14ac:dyDescent="0.25">
      <c r="A757" s="302"/>
      <c r="B757" s="302"/>
      <c r="C757" s="288"/>
      <c r="D757" s="288"/>
      <c r="E757" s="1242"/>
      <c r="F757" s="288"/>
      <c r="G757" s="288"/>
      <c r="H757" s="1015"/>
      <c r="I757" s="1015"/>
      <c r="J757" s="1015"/>
      <c r="K757" s="288"/>
      <c r="L757" s="302"/>
      <c r="M757" s="302"/>
      <c r="N757" s="302"/>
    </row>
    <row r="758" spans="1:14" x14ac:dyDescent="0.25">
      <c r="A758" s="302"/>
      <c r="B758" s="302"/>
      <c r="C758" s="288"/>
      <c r="D758" s="288"/>
      <c r="E758" s="1242"/>
      <c r="F758" s="288"/>
      <c r="G758" s="288"/>
      <c r="H758" s="1015"/>
      <c r="I758" s="1015"/>
      <c r="J758" s="1015"/>
      <c r="K758" s="288"/>
      <c r="L758" s="302"/>
      <c r="M758" s="302"/>
      <c r="N758" s="302"/>
    </row>
    <row r="759" spans="1:14" x14ac:dyDescent="0.25">
      <c r="A759" s="302"/>
      <c r="B759" s="302"/>
      <c r="C759" s="288"/>
      <c r="D759" s="288"/>
      <c r="E759" s="1242"/>
      <c r="F759" s="288"/>
      <c r="G759" s="288"/>
      <c r="H759" s="1015"/>
      <c r="I759" s="1015"/>
      <c r="J759" s="1015"/>
      <c r="K759" s="288"/>
      <c r="L759" s="302"/>
      <c r="M759" s="302"/>
      <c r="N759" s="302"/>
    </row>
    <row r="760" spans="1:14" x14ac:dyDescent="0.25">
      <c r="A760" s="302"/>
      <c r="B760" s="302"/>
      <c r="C760" s="288"/>
      <c r="D760" s="288"/>
      <c r="E760" s="1242"/>
      <c r="F760" s="288"/>
      <c r="G760" s="288"/>
      <c r="H760" s="1015"/>
      <c r="I760" s="1015"/>
      <c r="J760" s="1015"/>
      <c r="K760" s="288"/>
      <c r="L760" s="302"/>
      <c r="M760" s="302"/>
      <c r="N760" s="302"/>
    </row>
    <row r="761" spans="1:14" x14ac:dyDescent="0.25">
      <c r="A761" s="302"/>
      <c r="B761" s="302"/>
      <c r="C761" s="288"/>
      <c r="D761" s="288"/>
      <c r="E761" s="1242"/>
      <c r="F761" s="288"/>
      <c r="G761" s="288"/>
      <c r="H761" s="1015"/>
      <c r="I761" s="1015"/>
      <c r="J761" s="1015"/>
      <c r="K761" s="288"/>
      <c r="L761" s="302"/>
      <c r="M761" s="302"/>
      <c r="N761" s="302"/>
    </row>
    <row r="762" spans="1:14" x14ac:dyDescent="0.25">
      <c r="A762" s="302"/>
      <c r="B762" s="302"/>
      <c r="C762" s="288"/>
      <c r="D762" s="288"/>
      <c r="E762" s="1242"/>
      <c r="F762" s="288"/>
      <c r="G762" s="288"/>
      <c r="H762" s="1015"/>
      <c r="I762" s="1015"/>
      <c r="J762" s="1015"/>
      <c r="K762" s="288"/>
      <c r="L762" s="302"/>
      <c r="M762" s="302"/>
      <c r="N762" s="302"/>
    </row>
    <row r="763" spans="1:14" x14ac:dyDescent="0.25">
      <c r="A763" s="302"/>
      <c r="B763" s="302"/>
      <c r="C763" s="288"/>
      <c r="D763" s="288"/>
      <c r="E763" s="1242"/>
      <c r="F763" s="288"/>
      <c r="G763" s="288"/>
      <c r="H763" s="1015"/>
      <c r="I763" s="1015"/>
      <c r="J763" s="1015"/>
      <c r="K763" s="288"/>
      <c r="L763" s="302"/>
      <c r="M763" s="302"/>
      <c r="N763" s="302"/>
    </row>
    <row r="764" spans="1:14" x14ac:dyDescent="0.25">
      <c r="A764" s="302"/>
      <c r="B764" s="302"/>
      <c r="C764" s="288"/>
      <c r="D764" s="288"/>
      <c r="E764" s="1242"/>
      <c r="F764" s="288"/>
      <c r="G764" s="288"/>
      <c r="H764" s="1015"/>
      <c r="I764" s="1015"/>
      <c r="J764" s="1015"/>
      <c r="K764" s="288"/>
      <c r="L764" s="302"/>
      <c r="M764" s="302"/>
      <c r="N764" s="302"/>
    </row>
    <row r="765" spans="1:14" x14ac:dyDescent="0.25">
      <c r="A765" s="302"/>
      <c r="B765" s="302"/>
      <c r="C765" s="288"/>
      <c r="D765" s="288"/>
      <c r="E765" s="1242"/>
      <c r="F765" s="288"/>
      <c r="G765" s="288"/>
      <c r="H765" s="1015"/>
      <c r="I765" s="1015"/>
      <c r="J765" s="1015"/>
      <c r="K765" s="288"/>
      <c r="L765" s="302"/>
      <c r="M765" s="302"/>
      <c r="N765" s="302"/>
    </row>
    <row r="766" spans="1:14" x14ac:dyDescent="0.25">
      <c r="A766" s="302"/>
      <c r="B766" s="302"/>
      <c r="C766" s="288"/>
      <c r="D766" s="288"/>
      <c r="E766" s="1242"/>
      <c r="F766" s="288"/>
      <c r="G766" s="288"/>
      <c r="H766" s="1015"/>
      <c r="I766" s="1015"/>
      <c r="J766" s="1015"/>
      <c r="K766" s="288"/>
      <c r="L766" s="302"/>
      <c r="M766" s="302"/>
      <c r="N766" s="302"/>
    </row>
    <row r="767" spans="1:14" x14ac:dyDescent="0.25">
      <c r="A767" s="302"/>
      <c r="B767" s="302"/>
      <c r="C767" s="288"/>
      <c r="D767" s="288"/>
      <c r="E767" s="1242"/>
      <c r="F767" s="288"/>
      <c r="G767" s="288"/>
      <c r="H767" s="1015"/>
      <c r="I767" s="1015"/>
      <c r="J767" s="1015"/>
      <c r="K767" s="288"/>
      <c r="L767" s="302"/>
      <c r="M767" s="302"/>
      <c r="N767" s="302"/>
    </row>
    <row r="768" spans="1:14" x14ac:dyDescent="0.25">
      <c r="A768" s="302"/>
      <c r="B768" s="302"/>
      <c r="C768" s="288"/>
      <c r="D768" s="288"/>
      <c r="E768" s="1242"/>
      <c r="F768" s="288"/>
      <c r="G768" s="288"/>
      <c r="H768" s="1015"/>
      <c r="I768" s="1015"/>
      <c r="J768" s="1015"/>
      <c r="K768" s="288"/>
      <c r="L768" s="302"/>
      <c r="M768" s="302"/>
      <c r="N768" s="302"/>
    </row>
    <row r="769" spans="1:14" x14ac:dyDescent="0.25">
      <c r="A769" s="302"/>
      <c r="B769" s="302"/>
      <c r="C769" s="288"/>
      <c r="D769" s="288"/>
      <c r="E769" s="1242"/>
      <c r="F769" s="288"/>
      <c r="G769" s="288"/>
      <c r="H769" s="1015"/>
      <c r="I769" s="1015"/>
      <c r="J769" s="1015"/>
      <c r="K769" s="288"/>
      <c r="L769" s="302"/>
      <c r="M769" s="302"/>
      <c r="N769" s="302"/>
    </row>
    <row r="770" spans="1:14" x14ac:dyDescent="0.25">
      <c r="A770" s="302"/>
      <c r="B770" s="302"/>
      <c r="C770" s="288"/>
      <c r="D770" s="288"/>
      <c r="E770" s="1242"/>
      <c r="F770" s="288"/>
      <c r="G770" s="288"/>
      <c r="H770" s="1015"/>
      <c r="I770" s="1015"/>
      <c r="J770" s="1015"/>
      <c r="K770" s="288"/>
      <c r="L770" s="302"/>
      <c r="M770" s="302"/>
      <c r="N770" s="302"/>
    </row>
    <row r="771" spans="1:14" x14ac:dyDescent="0.25">
      <c r="A771" s="302"/>
      <c r="B771" s="302"/>
      <c r="C771" s="288"/>
      <c r="D771" s="288"/>
      <c r="E771" s="1242"/>
      <c r="F771" s="288"/>
      <c r="G771" s="288"/>
      <c r="H771" s="1015"/>
      <c r="I771" s="1015"/>
      <c r="J771" s="1015"/>
      <c r="K771" s="288"/>
      <c r="L771" s="302"/>
      <c r="M771" s="302"/>
      <c r="N771" s="302"/>
    </row>
    <row r="772" spans="1:14" x14ac:dyDescent="0.25">
      <c r="A772" s="302"/>
      <c r="B772" s="302"/>
      <c r="C772" s="288"/>
      <c r="D772" s="288"/>
      <c r="E772" s="1242"/>
      <c r="F772" s="288"/>
      <c r="G772" s="288"/>
      <c r="H772" s="1015"/>
      <c r="I772" s="1015"/>
      <c r="J772" s="1015"/>
      <c r="K772" s="288"/>
      <c r="L772" s="302"/>
      <c r="M772" s="302"/>
      <c r="N772" s="302"/>
    </row>
    <row r="773" spans="1:14" x14ac:dyDescent="0.25">
      <c r="A773" s="302"/>
      <c r="B773" s="302"/>
      <c r="C773" s="288"/>
      <c r="D773" s="288"/>
      <c r="E773" s="1242"/>
      <c r="F773" s="288"/>
      <c r="G773" s="288"/>
      <c r="H773" s="1015"/>
      <c r="I773" s="1015"/>
      <c r="J773" s="1015"/>
      <c r="K773" s="288"/>
      <c r="L773" s="302"/>
      <c r="M773" s="302"/>
      <c r="N773" s="302"/>
    </row>
    <row r="774" spans="1:14" x14ac:dyDescent="0.25">
      <c r="A774" s="302"/>
      <c r="B774" s="302"/>
      <c r="C774" s="288"/>
      <c r="D774" s="288"/>
      <c r="E774" s="1242"/>
      <c r="F774" s="288"/>
      <c r="G774" s="288"/>
      <c r="H774" s="1015"/>
      <c r="I774" s="1015"/>
      <c r="J774" s="1015"/>
      <c r="K774" s="288"/>
      <c r="L774" s="302"/>
      <c r="M774" s="302"/>
      <c r="N774" s="302"/>
    </row>
    <row r="775" spans="1:14" x14ac:dyDescent="0.25">
      <c r="A775" s="302"/>
      <c r="B775" s="302"/>
      <c r="C775" s="288"/>
      <c r="D775" s="288"/>
      <c r="E775" s="1242"/>
      <c r="F775" s="288"/>
      <c r="G775" s="288"/>
      <c r="H775" s="1015"/>
      <c r="I775" s="1015"/>
      <c r="J775" s="1015"/>
      <c r="K775" s="288"/>
      <c r="L775" s="302"/>
      <c r="M775" s="302"/>
      <c r="N775" s="302"/>
    </row>
    <row r="776" spans="1:14" x14ac:dyDescent="0.25">
      <c r="A776" s="302"/>
      <c r="B776" s="302"/>
      <c r="C776" s="288"/>
      <c r="D776" s="288"/>
      <c r="E776" s="1242"/>
      <c r="F776" s="288"/>
      <c r="G776" s="288"/>
      <c r="H776" s="1015"/>
      <c r="I776" s="1015"/>
      <c r="J776" s="1015"/>
      <c r="K776" s="288"/>
      <c r="L776" s="302"/>
      <c r="M776" s="302"/>
      <c r="N776" s="302"/>
    </row>
    <row r="777" spans="1:14" x14ac:dyDescent="0.25">
      <c r="A777" s="302"/>
      <c r="B777" s="302"/>
      <c r="C777" s="288"/>
      <c r="D777" s="288"/>
      <c r="E777" s="1242"/>
      <c r="F777" s="288"/>
      <c r="G777" s="288"/>
      <c r="H777" s="1015"/>
      <c r="I777" s="1015"/>
      <c r="J777" s="1015"/>
      <c r="K777" s="288"/>
      <c r="L777" s="302"/>
      <c r="M777" s="302"/>
      <c r="N777" s="302"/>
    </row>
    <row r="778" spans="1:14" x14ac:dyDescent="0.25">
      <c r="A778" s="302"/>
      <c r="B778" s="302"/>
      <c r="C778" s="288"/>
      <c r="D778" s="288"/>
      <c r="E778" s="1242"/>
      <c r="F778" s="288"/>
      <c r="G778" s="288"/>
      <c r="H778" s="1015"/>
      <c r="I778" s="1015"/>
      <c r="J778" s="1015"/>
      <c r="K778" s="288"/>
      <c r="L778" s="302"/>
      <c r="M778" s="302"/>
      <c r="N778" s="302"/>
    </row>
    <row r="779" spans="1:14" x14ac:dyDescent="0.25">
      <c r="A779" s="302"/>
      <c r="B779" s="302"/>
      <c r="C779" s="288"/>
      <c r="D779" s="288"/>
      <c r="E779" s="1242"/>
      <c r="F779" s="288"/>
      <c r="G779" s="288"/>
      <c r="H779" s="1015"/>
      <c r="I779" s="1015"/>
      <c r="J779" s="1015"/>
      <c r="K779" s="288"/>
      <c r="L779" s="302"/>
      <c r="M779" s="302"/>
      <c r="N779" s="302"/>
    </row>
    <row r="780" spans="1:14" x14ac:dyDescent="0.25">
      <c r="A780" s="302"/>
      <c r="B780" s="302"/>
      <c r="C780" s="288"/>
      <c r="D780" s="288"/>
      <c r="E780" s="1242"/>
      <c r="F780" s="288"/>
      <c r="G780" s="288"/>
      <c r="H780" s="1015"/>
      <c r="I780" s="1015"/>
      <c r="J780" s="1015"/>
      <c r="K780" s="288"/>
      <c r="L780" s="302"/>
      <c r="M780" s="302"/>
      <c r="N780" s="302"/>
    </row>
    <row r="781" spans="1:14" x14ac:dyDescent="0.25">
      <c r="A781" s="302"/>
      <c r="B781" s="302"/>
      <c r="C781" s="288"/>
      <c r="D781" s="288"/>
      <c r="E781" s="1242"/>
      <c r="F781" s="288"/>
      <c r="G781" s="288"/>
      <c r="H781" s="1015"/>
      <c r="I781" s="1015"/>
      <c r="J781" s="1015"/>
      <c r="K781" s="288"/>
      <c r="L781" s="302"/>
      <c r="M781" s="302"/>
      <c r="N781" s="302"/>
    </row>
    <row r="782" spans="1:14" x14ac:dyDescent="0.25">
      <c r="A782" s="302"/>
      <c r="B782" s="302"/>
      <c r="C782" s="288"/>
      <c r="D782" s="288"/>
      <c r="E782" s="1242"/>
      <c r="F782" s="288"/>
      <c r="G782" s="288"/>
      <c r="H782" s="1015"/>
      <c r="I782" s="1015"/>
      <c r="J782" s="1015"/>
      <c r="K782" s="288"/>
      <c r="L782" s="302"/>
      <c r="M782" s="302"/>
      <c r="N782" s="302"/>
    </row>
    <row r="783" spans="1:14" x14ac:dyDescent="0.25">
      <c r="A783" s="302"/>
      <c r="B783" s="302"/>
      <c r="C783" s="288"/>
      <c r="D783" s="288"/>
      <c r="E783" s="1242"/>
      <c r="F783" s="288"/>
      <c r="G783" s="288"/>
      <c r="H783" s="1015"/>
      <c r="I783" s="1015"/>
      <c r="J783" s="1015"/>
      <c r="K783" s="288"/>
      <c r="L783" s="302"/>
      <c r="M783" s="302"/>
      <c r="N783" s="302"/>
    </row>
    <row r="784" spans="1:14" x14ac:dyDescent="0.25">
      <c r="A784" s="302"/>
      <c r="B784" s="302"/>
      <c r="C784" s="288"/>
      <c r="D784" s="288"/>
      <c r="E784" s="1242"/>
      <c r="F784" s="288"/>
      <c r="G784" s="288"/>
      <c r="H784" s="1015"/>
      <c r="I784" s="1015"/>
      <c r="J784" s="1015"/>
      <c r="K784" s="288"/>
      <c r="L784" s="302"/>
      <c r="M784" s="302"/>
      <c r="N784" s="302"/>
    </row>
    <row r="785" spans="1:14" x14ac:dyDescent="0.25">
      <c r="A785" s="302"/>
      <c r="B785" s="302"/>
      <c r="C785" s="288"/>
      <c r="D785" s="288"/>
      <c r="E785" s="1242"/>
      <c r="F785" s="288"/>
      <c r="G785" s="288"/>
      <c r="H785" s="1015"/>
      <c r="I785" s="1015"/>
      <c r="J785" s="1015"/>
      <c r="K785" s="288"/>
      <c r="L785" s="302"/>
      <c r="M785" s="302"/>
      <c r="N785" s="302"/>
    </row>
    <row r="786" spans="1:14" x14ac:dyDescent="0.25">
      <c r="A786" s="302"/>
      <c r="B786" s="302"/>
      <c r="C786" s="288"/>
      <c r="D786" s="288"/>
      <c r="E786" s="1242"/>
      <c r="F786" s="288"/>
      <c r="G786" s="288"/>
      <c r="H786" s="1015"/>
      <c r="I786" s="1015"/>
      <c r="J786" s="1015"/>
      <c r="K786" s="288"/>
      <c r="L786" s="302"/>
      <c r="M786" s="302"/>
      <c r="N786" s="302"/>
    </row>
    <row r="787" spans="1:14" x14ac:dyDescent="0.25">
      <c r="A787" s="302"/>
      <c r="B787" s="302"/>
      <c r="C787" s="288"/>
      <c r="D787" s="288"/>
      <c r="E787" s="1242"/>
      <c r="F787" s="288"/>
      <c r="G787" s="288"/>
      <c r="H787" s="1015"/>
      <c r="I787" s="1015"/>
      <c r="J787" s="1015"/>
      <c r="K787" s="288"/>
      <c r="L787" s="302"/>
      <c r="M787" s="302"/>
      <c r="N787" s="302"/>
    </row>
    <row r="788" spans="1:14" x14ac:dyDescent="0.25">
      <c r="A788" s="302"/>
      <c r="B788" s="302"/>
      <c r="C788" s="288"/>
      <c r="D788" s="288"/>
      <c r="E788" s="1242"/>
      <c r="F788" s="288"/>
      <c r="G788" s="288"/>
      <c r="H788" s="1015"/>
      <c r="I788" s="1015"/>
      <c r="J788" s="1015"/>
      <c r="K788" s="288"/>
      <c r="L788" s="302"/>
      <c r="M788" s="302"/>
      <c r="N788" s="302"/>
    </row>
    <row r="789" spans="1:14" x14ac:dyDescent="0.25">
      <c r="A789" s="302"/>
      <c r="B789" s="302"/>
      <c r="C789" s="288"/>
      <c r="D789" s="288"/>
      <c r="E789" s="1242"/>
      <c r="F789" s="288"/>
      <c r="G789" s="288"/>
      <c r="H789" s="1015"/>
      <c r="I789" s="1015"/>
      <c r="J789" s="1015"/>
      <c r="K789" s="288"/>
      <c r="L789" s="302"/>
      <c r="M789" s="302"/>
      <c r="N789" s="302"/>
    </row>
    <row r="790" spans="1:14" x14ac:dyDescent="0.25">
      <c r="A790" s="302"/>
      <c r="B790" s="302"/>
      <c r="C790" s="288"/>
      <c r="D790" s="288"/>
      <c r="E790" s="1242"/>
      <c r="F790" s="288"/>
      <c r="G790" s="288"/>
      <c r="H790" s="1015"/>
      <c r="I790" s="1015"/>
      <c r="J790" s="1015"/>
      <c r="K790" s="288"/>
      <c r="L790" s="302"/>
      <c r="M790" s="302"/>
      <c r="N790" s="302"/>
    </row>
    <row r="791" spans="1:14" x14ac:dyDescent="0.25">
      <c r="A791" s="302"/>
      <c r="B791" s="302"/>
      <c r="C791" s="288"/>
      <c r="D791" s="288"/>
      <c r="E791" s="1242"/>
      <c r="F791" s="288"/>
      <c r="G791" s="288"/>
      <c r="H791" s="1015"/>
      <c r="I791" s="1015"/>
      <c r="J791" s="1015"/>
      <c r="K791" s="288"/>
      <c r="L791" s="302"/>
      <c r="M791" s="302"/>
      <c r="N791" s="302"/>
    </row>
    <row r="792" spans="1:14" x14ac:dyDescent="0.25">
      <c r="A792" s="302"/>
      <c r="B792" s="302"/>
      <c r="C792" s="288"/>
      <c r="D792" s="288"/>
      <c r="E792" s="1242"/>
      <c r="F792" s="288"/>
      <c r="G792" s="288"/>
      <c r="H792" s="1015"/>
      <c r="I792" s="1015"/>
      <c r="J792" s="1015"/>
      <c r="K792" s="288"/>
      <c r="L792" s="302"/>
      <c r="M792" s="302"/>
      <c r="N792" s="302"/>
    </row>
    <row r="793" spans="1:14" x14ac:dyDescent="0.25">
      <c r="A793" s="302"/>
      <c r="B793" s="302"/>
      <c r="C793" s="288"/>
      <c r="D793" s="288"/>
      <c r="E793" s="1242"/>
      <c r="F793" s="288"/>
      <c r="G793" s="288"/>
      <c r="H793" s="1015"/>
      <c r="I793" s="1015"/>
      <c r="J793" s="1015"/>
      <c r="K793" s="288"/>
      <c r="L793" s="302"/>
      <c r="M793" s="302"/>
      <c r="N793" s="302"/>
    </row>
    <row r="794" spans="1:14" x14ac:dyDescent="0.25">
      <c r="A794" s="302"/>
      <c r="B794" s="302"/>
      <c r="C794" s="288"/>
      <c r="D794" s="288"/>
      <c r="E794" s="1242"/>
      <c r="F794" s="288"/>
      <c r="G794" s="288"/>
      <c r="H794" s="1015"/>
      <c r="I794" s="1015"/>
      <c r="J794" s="1015"/>
      <c r="K794" s="288"/>
      <c r="L794" s="302"/>
      <c r="M794" s="302"/>
      <c r="N794" s="302"/>
    </row>
    <row r="795" spans="1:14" x14ac:dyDescent="0.25">
      <c r="A795" s="302"/>
      <c r="B795" s="302"/>
      <c r="C795" s="288"/>
      <c r="D795" s="288"/>
      <c r="E795" s="1242"/>
      <c r="F795" s="288"/>
      <c r="G795" s="288"/>
      <c r="H795" s="1015"/>
      <c r="I795" s="1015"/>
      <c r="J795" s="1015"/>
      <c r="K795" s="288"/>
      <c r="L795" s="302"/>
      <c r="M795" s="302"/>
      <c r="N795" s="302"/>
    </row>
    <row r="796" spans="1:14" x14ac:dyDescent="0.25">
      <c r="A796" s="302"/>
      <c r="B796" s="302"/>
      <c r="C796" s="288"/>
      <c r="D796" s="288"/>
      <c r="E796" s="1242"/>
      <c r="F796" s="288"/>
      <c r="G796" s="288"/>
      <c r="H796" s="1015"/>
      <c r="I796" s="1015"/>
      <c r="J796" s="1015"/>
      <c r="K796" s="288"/>
      <c r="L796" s="302"/>
      <c r="M796" s="302"/>
      <c r="N796" s="302"/>
    </row>
    <row r="797" spans="1:14" x14ac:dyDescent="0.25">
      <c r="A797" s="302"/>
      <c r="B797" s="302"/>
      <c r="C797" s="288"/>
      <c r="D797" s="288"/>
      <c r="E797" s="1242"/>
      <c r="F797" s="288"/>
      <c r="G797" s="288"/>
      <c r="H797" s="1015"/>
      <c r="I797" s="1015"/>
      <c r="J797" s="1015"/>
      <c r="K797" s="288"/>
      <c r="L797" s="302"/>
      <c r="M797" s="302"/>
      <c r="N797" s="302"/>
    </row>
    <row r="798" spans="1:14" x14ac:dyDescent="0.25">
      <c r="A798" s="302"/>
      <c r="B798" s="302"/>
      <c r="C798" s="288"/>
      <c r="D798" s="288"/>
      <c r="E798" s="1242"/>
      <c r="F798" s="288"/>
      <c r="G798" s="288"/>
      <c r="H798" s="1015"/>
      <c r="I798" s="1015"/>
      <c r="J798" s="1015"/>
      <c r="K798" s="288"/>
      <c r="L798" s="302"/>
      <c r="M798" s="302"/>
      <c r="N798" s="302"/>
    </row>
    <row r="799" spans="1:14" x14ac:dyDescent="0.25">
      <c r="A799" s="302"/>
      <c r="B799" s="302"/>
      <c r="C799" s="288"/>
      <c r="D799" s="288"/>
      <c r="E799" s="1242"/>
      <c r="F799" s="288"/>
      <c r="G799" s="288"/>
      <c r="H799" s="1015"/>
      <c r="I799" s="1015"/>
      <c r="J799" s="1015"/>
      <c r="K799" s="288"/>
      <c r="L799" s="302"/>
      <c r="M799" s="302"/>
      <c r="N799" s="302"/>
    </row>
    <row r="800" spans="1:14" x14ac:dyDescent="0.25">
      <c r="A800" s="302"/>
      <c r="B800" s="302"/>
      <c r="C800" s="288"/>
      <c r="D800" s="288"/>
      <c r="E800" s="1242"/>
      <c r="F800" s="288"/>
      <c r="G800" s="288"/>
      <c r="H800" s="1015"/>
      <c r="I800" s="1015"/>
      <c r="J800" s="1015"/>
      <c r="K800" s="288"/>
      <c r="L800" s="302"/>
      <c r="M800" s="302"/>
      <c r="N800" s="302"/>
    </row>
    <row r="801" spans="1:14" x14ac:dyDescent="0.25">
      <c r="A801" s="302"/>
      <c r="B801" s="302"/>
      <c r="C801" s="288"/>
      <c r="D801" s="288"/>
      <c r="E801" s="1242"/>
      <c r="F801" s="288"/>
      <c r="G801" s="288"/>
      <c r="H801" s="1015"/>
      <c r="I801" s="1015"/>
      <c r="J801" s="1015"/>
      <c r="K801" s="288"/>
      <c r="L801" s="302"/>
      <c r="M801" s="302"/>
      <c r="N801" s="302"/>
    </row>
    <row r="802" spans="1:14" x14ac:dyDescent="0.25">
      <c r="A802" s="302"/>
      <c r="B802" s="302"/>
      <c r="C802" s="288"/>
      <c r="D802" s="288"/>
      <c r="E802" s="1242"/>
      <c r="F802" s="288"/>
      <c r="G802" s="288"/>
      <c r="H802" s="1015"/>
      <c r="I802" s="1015"/>
      <c r="J802" s="1015"/>
      <c r="K802" s="288"/>
      <c r="L802" s="302"/>
      <c r="M802" s="302"/>
      <c r="N802" s="302"/>
    </row>
    <row r="803" spans="1:14" x14ac:dyDescent="0.25">
      <c r="A803" s="302"/>
      <c r="B803" s="302"/>
      <c r="C803" s="288"/>
      <c r="D803" s="288"/>
      <c r="E803" s="1242"/>
      <c r="F803" s="288"/>
      <c r="G803" s="288"/>
      <c r="H803" s="1015"/>
      <c r="I803" s="1015"/>
      <c r="J803" s="1015"/>
      <c r="K803" s="288"/>
      <c r="L803" s="302"/>
      <c r="M803" s="302"/>
      <c r="N803" s="302"/>
    </row>
    <row r="804" spans="1:14" x14ac:dyDescent="0.25">
      <c r="A804" s="302"/>
      <c r="B804" s="302"/>
      <c r="C804" s="288"/>
      <c r="D804" s="288"/>
      <c r="E804" s="1242"/>
      <c r="F804" s="288"/>
      <c r="G804" s="288"/>
      <c r="H804" s="1015"/>
      <c r="I804" s="1015"/>
      <c r="J804" s="1015"/>
      <c r="K804" s="288"/>
      <c r="L804" s="302"/>
      <c r="M804" s="302"/>
      <c r="N804" s="302"/>
    </row>
    <row r="805" spans="1:14" x14ac:dyDescent="0.25">
      <c r="A805" s="302"/>
      <c r="B805" s="302"/>
      <c r="C805" s="288"/>
      <c r="D805" s="288"/>
      <c r="E805" s="1242"/>
      <c r="F805" s="288"/>
      <c r="G805" s="288"/>
      <c r="H805" s="1015"/>
      <c r="I805" s="1015"/>
      <c r="J805" s="1015"/>
      <c r="K805" s="288"/>
      <c r="L805" s="302"/>
      <c r="M805" s="302"/>
      <c r="N805" s="302"/>
    </row>
    <row r="806" spans="1:14" x14ac:dyDescent="0.25">
      <c r="A806" s="302"/>
      <c r="B806" s="302"/>
      <c r="C806" s="288"/>
      <c r="D806" s="288"/>
      <c r="E806" s="1242"/>
      <c r="F806" s="288"/>
      <c r="G806" s="288"/>
      <c r="H806" s="1015"/>
      <c r="I806" s="1015"/>
      <c r="J806" s="1015"/>
      <c r="K806" s="288"/>
      <c r="L806" s="302"/>
      <c r="M806" s="302"/>
      <c r="N806" s="302"/>
    </row>
    <row r="807" spans="1:14" x14ac:dyDescent="0.25">
      <c r="A807" s="302"/>
      <c r="B807" s="302"/>
      <c r="C807" s="288"/>
      <c r="D807" s="288"/>
      <c r="E807" s="1242"/>
      <c r="F807" s="288"/>
      <c r="G807" s="288"/>
      <c r="H807" s="1015"/>
      <c r="I807" s="1015"/>
      <c r="J807" s="1015"/>
      <c r="K807" s="288"/>
      <c r="L807" s="302"/>
      <c r="M807" s="302"/>
      <c r="N807" s="302"/>
    </row>
    <row r="808" spans="1:14" x14ac:dyDescent="0.25">
      <c r="A808" s="302"/>
      <c r="B808" s="302"/>
      <c r="C808" s="288"/>
      <c r="D808" s="288"/>
      <c r="E808" s="1242"/>
      <c r="F808" s="288"/>
      <c r="G808" s="288"/>
      <c r="H808" s="1015"/>
      <c r="I808" s="1015"/>
      <c r="J808" s="1015"/>
      <c r="K808" s="288"/>
      <c r="L808" s="302"/>
      <c r="M808" s="302"/>
      <c r="N808" s="302"/>
    </row>
    <row r="809" spans="1:14" x14ac:dyDescent="0.25">
      <c r="A809" s="302"/>
      <c r="B809" s="302"/>
      <c r="C809" s="288"/>
      <c r="D809" s="288"/>
      <c r="E809" s="1242"/>
      <c r="F809" s="288"/>
      <c r="G809" s="288"/>
      <c r="H809" s="1015"/>
      <c r="I809" s="1015"/>
      <c r="J809" s="1015"/>
      <c r="K809" s="288"/>
      <c r="L809" s="302"/>
      <c r="M809" s="302"/>
      <c r="N809" s="302"/>
    </row>
    <row r="810" spans="1:14" x14ac:dyDescent="0.25">
      <c r="A810" s="302"/>
      <c r="B810" s="302"/>
      <c r="C810" s="288"/>
      <c r="D810" s="288"/>
      <c r="E810" s="1242"/>
      <c r="F810" s="288"/>
      <c r="G810" s="288"/>
      <c r="H810" s="1015"/>
      <c r="I810" s="1015"/>
      <c r="J810" s="1015"/>
      <c r="K810" s="288"/>
      <c r="L810" s="302"/>
      <c r="M810" s="302"/>
      <c r="N810" s="302"/>
    </row>
    <row r="811" spans="1:14" x14ac:dyDescent="0.25">
      <c r="A811" s="302"/>
      <c r="B811" s="302"/>
      <c r="C811" s="288"/>
      <c r="D811" s="288"/>
      <c r="E811" s="1242"/>
      <c r="F811" s="288"/>
      <c r="G811" s="288"/>
      <c r="H811" s="1015"/>
      <c r="I811" s="1015"/>
      <c r="J811" s="1015"/>
      <c r="K811" s="288"/>
      <c r="L811" s="302"/>
      <c r="M811" s="302"/>
      <c r="N811" s="302"/>
    </row>
    <row r="812" spans="1:14" x14ac:dyDescent="0.25">
      <c r="A812" s="302"/>
      <c r="B812" s="302"/>
      <c r="C812" s="288"/>
      <c r="D812" s="288"/>
      <c r="E812" s="1242"/>
      <c r="F812" s="288"/>
      <c r="G812" s="288"/>
      <c r="H812" s="1015"/>
      <c r="I812" s="1015"/>
      <c r="J812" s="1015"/>
      <c r="K812" s="288"/>
      <c r="L812" s="302"/>
      <c r="M812" s="302"/>
      <c r="N812" s="302"/>
    </row>
    <row r="813" spans="1:14" x14ac:dyDescent="0.25">
      <c r="A813" s="302"/>
      <c r="B813" s="302"/>
      <c r="C813" s="288"/>
      <c r="D813" s="288"/>
      <c r="E813" s="1242"/>
      <c r="F813" s="288"/>
      <c r="G813" s="288"/>
      <c r="H813" s="1015"/>
      <c r="I813" s="1015"/>
      <c r="J813" s="1015"/>
      <c r="K813" s="288"/>
      <c r="L813" s="302"/>
      <c r="M813" s="302"/>
      <c r="N813" s="302"/>
    </row>
    <row r="814" spans="1:14" x14ac:dyDescent="0.25">
      <c r="A814" s="302"/>
      <c r="B814" s="302"/>
      <c r="C814" s="288"/>
      <c r="D814" s="288"/>
      <c r="E814" s="1242"/>
      <c r="F814" s="288"/>
      <c r="G814" s="288"/>
      <c r="H814" s="1015"/>
      <c r="I814" s="1015"/>
      <c r="J814" s="1015"/>
      <c r="K814" s="288"/>
      <c r="L814" s="302"/>
      <c r="M814" s="302"/>
      <c r="N814" s="302"/>
    </row>
    <row r="815" spans="1:14" x14ac:dyDescent="0.25">
      <c r="A815" s="302"/>
      <c r="B815" s="302"/>
      <c r="C815" s="288"/>
      <c r="D815" s="288"/>
      <c r="E815" s="1242"/>
      <c r="F815" s="288"/>
      <c r="G815" s="288"/>
      <c r="H815" s="1015"/>
      <c r="I815" s="1015"/>
      <c r="J815" s="1015"/>
      <c r="K815" s="288"/>
      <c r="L815" s="302"/>
      <c r="M815" s="302"/>
      <c r="N815" s="302"/>
    </row>
    <row r="816" spans="1:14" x14ac:dyDescent="0.25">
      <c r="A816" s="302"/>
      <c r="B816" s="302"/>
      <c r="C816" s="288"/>
      <c r="D816" s="288"/>
      <c r="E816" s="1242"/>
      <c r="F816" s="288"/>
      <c r="G816" s="288"/>
      <c r="H816" s="1015"/>
      <c r="I816" s="1015"/>
      <c r="J816" s="1015"/>
      <c r="K816" s="288"/>
      <c r="L816" s="302"/>
      <c r="M816" s="302"/>
      <c r="N816" s="302"/>
    </row>
    <row r="817" spans="1:14" x14ac:dyDescent="0.25">
      <c r="A817" s="302"/>
      <c r="B817" s="302"/>
      <c r="C817" s="288"/>
      <c r="D817" s="288"/>
      <c r="E817" s="1242"/>
      <c r="F817" s="288"/>
      <c r="G817" s="288"/>
      <c r="H817" s="1015"/>
      <c r="I817" s="1015"/>
      <c r="J817" s="1015"/>
      <c r="K817" s="288"/>
      <c r="L817" s="302"/>
      <c r="M817" s="302"/>
      <c r="N817" s="302"/>
    </row>
    <row r="818" spans="1:14" x14ac:dyDescent="0.25">
      <c r="A818" s="302"/>
      <c r="B818" s="302"/>
      <c r="C818" s="288"/>
      <c r="D818" s="288"/>
      <c r="E818" s="1242"/>
      <c r="F818" s="288"/>
      <c r="G818" s="288"/>
      <c r="H818" s="1015"/>
      <c r="I818" s="1015"/>
      <c r="J818" s="1015"/>
      <c r="K818" s="288"/>
      <c r="L818" s="302"/>
      <c r="M818" s="302"/>
      <c r="N818" s="302"/>
    </row>
    <row r="819" spans="1:14" x14ac:dyDescent="0.25">
      <c r="A819" s="302"/>
      <c r="B819" s="302"/>
      <c r="C819" s="288"/>
      <c r="D819" s="288"/>
      <c r="E819" s="1242"/>
      <c r="F819" s="288"/>
      <c r="G819" s="288"/>
      <c r="H819" s="1015"/>
      <c r="I819" s="1015"/>
      <c r="J819" s="1015"/>
      <c r="K819" s="288"/>
      <c r="L819" s="302"/>
      <c r="M819" s="302"/>
      <c r="N819" s="302"/>
    </row>
    <row r="820" spans="1:14" x14ac:dyDescent="0.25">
      <c r="A820" s="302"/>
      <c r="B820" s="302"/>
      <c r="C820" s="288"/>
      <c r="D820" s="288"/>
      <c r="E820" s="1242"/>
      <c r="F820" s="288"/>
      <c r="G820" s="288"/>
      <c r="H820" s="1015"/>
      <c r="I820" s="1015"/>
      <c r="J820" s="1015"/>
      <c r="K820" s="288"/>
      <c r="L820" s="302"/>
      <c r="M820" s="302"/>
      <c r="N820" s="302"/>
    </row>
    <row r="821" spans="1:14" x14ac:dyDescent="0.25">
      <c r="A821" s="302"/>
      <c r="B821" s="302"/>
      <c r="C821" s="288"/>
      <c r="D821" s="288"/>
      <c r="E821" s="1242"/>
      <c r="F821" s="288"/>
      <c r="G821" s="288"/>
      <c r="H821" s="1015"/>
      <c r="I821" s="1015"/>
      <c r="J821" s="1015"/>
      <c r="K821" s="288"/>
      <c r="L821" s="302"/>
      <c r="M821" s="302"/>
      <c r="N821" s="302"/>
    </row>
    <row r="822" spans="1:14" x14ac:dyDescent="0.25">
      <c r="A822" s="302"/>
      <c r="B822" s="302"/>
      <c r="C822" s="288"/>
      <c r="D822" s="288"/>
      <c r="E822" s="1242"/>
      <c r="F822" s="288"/>
      <c r="G822" s="288"/>
      <c r="H822" s="1015"/>
      <c r="I822" s="1015"/>
      <c r="J822" s="1015"/>
      <c r="K822" s="288"/>
      <c r="L822" s="302"/>
      <c r="M822" s="302"/>
      <c r="N822" s="302"/>
    </row>
    <row r="823" spans="1:14" x14ac:dyDescent="0.25">
      <c r="A823" s="302"/>
      <c r="B823" s="302"/>
      <c r="C823" s="288"/>
      <c r="D823" s="288"/>
      <c r="E823" s="1242"/>
      <c r="F823" s="288"/>
      <c r="G823" s="288"/>
      <c r="H823" s="1015"/>
      <c r="I823" s="1015"/>
      <c r="J823" s="1015"/>
      <c r="K823" s="288"/>
      <c r="L823" s="302"/>
      <c r="M823" s="302"/>
      <c r="N823" s="302"/>
    </row>
    <row r="824" spans="1:14" x14ac:dyDescent="0.25">
      <c r="A824" s="302"/>
      <c r="B824" s="302"/>
      <c r="C824" s="288"/>
      <c r="D824" s="288"/>
      <c r="E824" s="1242"/>
      <c r="F824" s="288"/>
      <c r="G824" s="288"/>
      <c r="H824" s="1015"/>
      <c r="I824" s="1015"/>
      <c r="J824" s="1015"/>
      <c r="K824" s="288"/>
      <c r="L824" s="302"/>
      <c r="M824" s="302"/>
      <c r="N824" s="302"/>
    </row>
    <row r="825" spans="1:14" x14ac:dyDescent="0.25">
      <c r="A825" s="302"/>
      <c r="B825" s="302"/>
      <c r="C825" s="288"/>
      <c r="D825" s="288"/>
      <c r="E825" s="1242"/>
      <c r="F825" s="288"/>
      <c r="G825" s="288"/>
      <c r="H825" s="1015"/>
      <c r="I825" s="1015"/>
      <c r="J825" s="1015"/>
      <c r="K825" s="288"/>
      <c r="L825" s="302"/>
      <c r="M825" s="302"/>
      <c r="N825" s="302"/>
    </row>
    <row r="826" spans="1:14" x14ac:dyDescent="0.25">
      <c r="A826" s="302"/>
      <c r="B826" s="302"/>
      <c r="C826" s="288"/>
      <c r="D826" s="288"/>
      <c r="E826" s="1242"/>
      <c r="F826" s="288"/>
      <c r="G826" s="288"/>
      <c r="H826" s="1015"/>
      <c r="I826" s="1015"/>
      <c r="J826" s="1015"/>
      <c r="K826" s="288"/>
      <c r="L826" s="302"/>
      <c r="M826" s="302"/>
      <c r="N826" s="302"/>
    </row>
    <row r="827" spans="1:14" x14ac:dyDescent="0.25">
      <c r="A827" s="302"/>
      <c r="B827" s="302"/>
      <c r="C827" s="288"/>
      <c r="D827" s="288"/>
      <c r="E827" s="1242"/>
      <c r="F827" s="288"/>
      <c r="G827" s="288"/>
      <c r="H827" s="1015"/>
      <c r="I827" s="1015"/>
      <c r="J827" s="1015"/>
      <c r="K827" s="288"/>
      <c r="L827" s="302"/>
      <c r="M827" s="302"/>
      <c r="N827" s="302"/>
    </row>
    <row r="828" spans="1:14" x14ac:dyDescent="0.25">
      <c r="A828" s="302"/>
      <c r="B828" s="302"/>
      <c r="C828" s="288"/>
      <c r="D828" s="288"/>
      <c r="E828" s="1242"/>
      <c r="F828" s="288"/>
      <c r="G828" s="288"/>
      <c r="H828" s="1015"/>
      <c r="I828" s="1015"/>
      <c r="J828" s="1015"/>
      <c r="K828" s="288"/>
      <c r="L828" s="302"/>
      <c r="M828" s="302"/>
      <c r="N828" s="302"/>
    </row>
    <row r="829" spans="1:14" x14ac:dyDescent="0.25">
      <c r="A829" s="302"/>
      <c r="B829" s="302"/>
      <c r="C829" s="288"/>
      <c r="D829" s="288"/>
      <c r="E829" s="1242"/>
      <c r="F829" s="288"/>
      <c r="G829" s="288"/>
      <c r="H829" s="1015"/>
      <c r="I829" s="1015"/>
      <c r="J829" s="1015"/>
      <c r="K829" s="288"/>
      <c r="L829" s="302"/>
      <c r="M829" s="302"/>
      <c r="N829" s="302"/>
    </row>
  </sheetData>
  <mergeCells count="3">
    <mergeCell ref="A1:AD1"/>
    <mergeCell ref="A2:AD2"/>
    <mergeCell ref="A3:AD3"/>
  </mergeCells>
  <printOptions horizontalCentered="1" headings="1"/>
  <pageMargins left="0.65" right="0" top="0.65748031500000004" bottom="3.7401574999999999E-2" header="0.36811023599999998" footer="0.3"/>
  <pageSetup paperSize="5" scale="54" orientation="landscape" horizontalDpi="360" verticalDpi="360" r:id="rId1"/>
  <rowBreaks count="2" manualBreakCount="2">
    <brk id="61" max="29" man="1"/>
    <brk id="124" max="29" man="1"/>
  </row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view="pageBreakPreview" zoomScale="80" zoomScaleNormal="100" zoomScaleSheetLayoutView="80" workbookViewId="0">
      <pane xSplit="1" topLeftCell="H1" activePane="topRight" state="frozen"/>
      <selection pane="topRight" activeCell="AB14" sqref="AB14"/>
    </sheetView>
  </sheetViews>
  <sheetFormatPr defaultRowHeight="15" outlineLevelCol="1" x14ac:dyDescent="0.25"/>
  <cols>
    <col min="1" max="1" width="44.140625" customWidth="1"/>
    <col min="2" max="2" width="12.7109375" customWidth="1"/>
    <col min="3" max="3" width="16.140625" customWidth="1"/>
    <col min="4" max="4" width="16.140625" style="951" customWidth="1"/>
    <col min="5" max="5" width="13.140625" style="951" customWidth="1"/>
    <col min="6" max="6" width="14.7109375" customWidth="1"/>
    <col min="7" max="7" width="14.42578125" customWidth="1"/>
    <col min="8" max="8" width="14" customWidth="1"/>
    <col min="9" max="9" width="13.28515625" hidden="1" customWidth="1"/>
    <col min="10" max="10" width="13.140625" hidden="1" customWidth="1"/>
    <col min="11" max="11" width="13.5703125" customWidth="1"/>
    <col min="12" max="23" width="12.7109375" hidden="1" customWidth="1" outlineLevel="1"/>
    <col min="24" max="24" width="12.7109375" customWidth="1" collapsed="1"/>
    <col min="25" max="25" width="14.140625" customWidth="1"/>
    <col min="26" max="26" width="14" customWidth="1"/>
    <col min="27" max="27" width="13.7109375" customWidth="1"/>
    <col min="28" max="28" width="14.7109375" customWidth="1"/>
  </cols>
  <sheetData>
    <row r="1" spans="1:28" x14ac:dyDescent="0.25">
      <c r="A1" s="1432" t="s">
        <v>352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1432"/>
      <c r="M1" s="1432"/>
      <c r="N1" s="1432"/>
      <c r="O1" s="1432"/>
      <c r="P1" s="1432"/>
      <c r="Q1" s="1432"/>
      <c r="R1" s="1432"/>
      <c r="S1" s="1432"/>
      <c r="T1" s="1432"/>
      <c r="U1" s="1432"/>
      <c r="V1" s="1432"/>
      <c r="W1" s="1432"/>
      <c r="X1" s="1432"/>
      <c r="Y1" s="1432"/>
      <c r="Z1" s="1432"/>
    </row>
    <row r="2" spans="1:28" x14ac:dyDescent="0.25">
      <c r="A2" s="1432" t="s">
        <v>353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1432"/>
      <c r="Y2" s="1432"/>
      <c r="Z2" s="1432"/>
    </row>
    <row r="3" spans="1:28" ht="15.75" thickBot="1" x14ac:dyDescent="0.3">
      <c r="A3" s="1433" t="str">
        <f>'1023-MARKET'!A3:AB3</f>
        <v>For the Period October 1-31, 2021</v>
      </c>
      <c r="B3" s="1433"/>
      <c r="C3" s="1433"/>
      <c r="D3" s="1433"/>
      <c r="E3" s="1433"/>
      <c r="F3" s="1433"/>
      <c r="G3" s="1433"/>
      <c r="H3" s="1433"/>
      <c r="I3" s="1433"/>
      <c r="J3" s="1433"/>
      <c r="K3" s="1433"/>
      <c r="L3" s="1433"/>
      <c r="M3" s="1433"/>
      <c r="N3" s="1433"/>
      <c r="O3" s="1433"/>
      <c r="P3" s="1433"/>
      <c r="Q3" s="1433"/>
      <c r="R3" s="1433"/>
      <c r="S3" s="1433"/>
      <c r="T3" s="1433"/>
      <c r="U3" s="1433"/>
      <c r="V3" s="1433"/>
      <c r="W3" s="1433"/>
      <c r="X3" s="1433"/>
      <c r="Y3" s="1433"/>
      <c r="Z3" s="1433"/>
      <c r="AA3" s="1149"/>
      <c r="AB3" s="1149"/>
    </row>
    <row r="4" spans="1:28" ht="27" thickTop="1" x14ac:dyDescent="0.25">
      <c r="A4" s="71" t="s">
        <v>347</v>
      </c>
      <c r="B4" s="18" t="s">
        <v>2</v>
      </c>
      <c r="C4" s="18" t="s">
        <v>133</v>
      </c>
      <c r="D4" s="1073" t="s">
        <v>1204</v>
      </c>
      <c r="E4" s="1073" t="s">
        <v>1204</v>
      </c>
      <c r="F4" s="71" t="s">
        <v>1</v>
      </c>
      <c r="G4" s="71" t="s">
        <v>316</v>
      </c>
      <c r="H4" s="71" t="s">
        <v>314</v>
      </c>
      <c r="I4" s="23" t="s">
        <v>135</v>
      </c>
      <c r="J4" s="23"/>
      <c r="K4" s="74" t="s">
        <v>346</v>
      </c>
      <c r="L4" s="19"/>
      <c r="M4" s="19"/>
      <c r="N4" s="19"/>
      <c r="O4" s="19"/>
      <c r="P4" s="24"/>
      <c r="Q4" s="24"/>
      <c r="R4" s="24"/>
      <c r="S4" s="24"/>
      <c r="T4" s="24"/>
      <c r="U4" s="24"/>
      <c r="V4" s="24"/>
      <c r="W4" s="24"/>
      <c r="X4" s="74" t="s">
        <v>316</v>
      </c>
      <c r="Y4" s="74" t="s">
        <v>348</v>
      </c>
      <c r="Z4" s="74" t="s">
        <v>1</v>
      </c>
      <c r="AA4" s="724" t="s">
        <v>131</v>
      </c>
      <c r="AB4" s="724" t="s">
        <v>131</v>
      </c>
    </row>
    <row r="5" spans="1:28" ht="15.75" thickBot="1" x14ac:dyDescent="0.3">
      <c r="A5" s="25"/>
      <c r="B5" s="25" t="s">
        <v>3</v>
      </c>
      <c r="C5" s="25" t="s">
        <v>134</v>
      </c>
      <c r="D5" s="1009" t="s">
        <v>1354</v>
      </c>
      <c r="E5" s="1009" t="s">
        <v>1184</v>
      </c>
      <c r="F5" s="85" t="s">
        <v>314</v>
      </c>
      <c r="G5" s="85" t="s">
        <v>314</v>
      </c>
      <c r="H5" s="85" t="s">
        <v>315</v>
      </c>
      <c r="I5" s="26" t="s">
        <v>134</v>
      </c>
      <c r="J5" s="26" t="s">
        <v>136</v>
      </c>
      <c r="K5" s="75" t="s">
        <v>315</v>
      </c>
      <c r="L5" s="27" t="s">
        <v>0</v>
      </c>
      <c r="M5" s="27" t="s">
        <v>120</v>
      </c>
      <c r="N5" s="27" t="s">
        <v>121</v>
      </c>
      <c r="O5" s="27" t="s">
        <v>122</v>
      </c>
      <c r="P5" s="27" t="s">
        <v>123</v>
      </c>
      <c r="Q5" s="27" t="s">
        <v>124</v>
      </c>
      <c r="R5" s="27" t="s">
        <v>125</v>
      </c>
      <c r="S5" s="27" t="s">
        <v>126</v>
      </c>
      <c r="T5" s="27" t="s">
        <v>127</v>
      </c>
      <c r="U5" s="27" t="s">
        <v>128</v>
      </c>
      <c r="V5" s="27" t="s">
        <v>129</v>
      </c>
      <c r="W5" s="27" t="s">
        <v>130</v>
      </c>
      <c r="X5" s="75" t="s">
        <v>317</v>
      </c>
      <c r="Y5" s="75" t="s">
        <v>315</v>
      </c>
      <c r="Z5" s="75" t="s">
        <v>317</v>
      </c>
      <c r="AA5" s="75" t="s">
        <v>314</v>
      </c>
      <c r="AB5" s="75" t="s">
        <v>132</v>
      </c>
    </row>
    <row r="6" spans="1:28" ht="15.75" thickTop="1" x14ac:dyDescent="0.25">
      <c r="A6" s="444" t="s">
        <v>1162</v>
      </c>
      <c r="B6" s="175"/>
      <c r="C6" s="175"/>
      <c r="D6" s="175"/>
      <c r="E6" s="175"/>
      <c r="F6" s="175"/>
      <c r="G6" s="175"/>
      <c r="H6" s="175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5"/>
    </row>
    <row r="7" spans="1:28" x14ac:dyDescent="0.25">
      <c r="A7" s="53" t="s">
        <v>138</v>
      </c>
      <c r="B7" s="51"/>
      <c r="C7" s="48"/>
      <c r="D7" s="869"/>
      <c r="E7" s="869"/>
      <c r="F7" s="48"/>
      <c r="G7" s="48"/>
      <c r="H7" s="48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8"/>
    </row>
    <row r="8" spans="1:28" x14ac:dyDescent="0.25">
      <c r="A8" s="273" t="s">
        <v>139</v>
      </c>
      <c r="B8" s="410" t="s">
        <v>43</v>
      </c>
      <c r="C8" s="434">
        <v>13750</v>
      </c>
      <c r="D8" s="434"/>
      <c r="E8" s="434"/>
      <c r="F8" s="52">
        <f>SUM(C8:E8)</f>
        <v>13750</v>
      </c>
      <c r="G8" s="52">
        <f>F8/12*9</f>
        <v>10312.5</v>
      </c>
      <c r="H8" s="52">
        <f t="shared" ref="H8" si="0">F8/12</f>
        <v>1145.8333333333333</v>
      </c>
      <c r="I8" s="43"/>
      <c r="J8" s="43"/>
      <c r="K8" s="43">
        <f t="shared" ref="K8" si="1">G8+H8</f>
        <v>11458.333333333334</v>
      </c>
      <c r="L8" s="43"/>
      <c r="M8" s="43"/>
      <c r="N8" s="43"/>
      <c r="O8" s="43"/>
      <c r="P8" s="43"/>
      <c r="Q8" s="43"/>
      <c r="R8" s="1201">
        <v>0</v>
      </c>
      <c r="S8" s="43">
        <v>1332</v>
      </c>
      <c r="T8" s="43"/>
      <c r="U8" s="43">
        <v>2920</v>
      </c>
      <c r="V8" s="43"/>
      <c r="W8" s="43"/>
      <c r="X8" s="43">
        <f>L8+M8+N8+O8+P8+Q8+R8+S8+T8</f>
        <v>1332</v>
      </c>
      <c r="Y8" s="43">
        <f>U8</f>
        <v>2920</v>
      </c>
      <c r="Z8" s="718">
        <f t="shared" ref="Z8:Z13" si="2">X8+Y8</f>
        <v>4252</v>
      </c>
      <c r="AA8" s="43">
        <f t="shared" ref="AA8" si="3">K8-Z8</f>
        <v>7206.3333333333339</v>
      </c>
      <c r="AB8" s="89">
        <f>F8-Z8</f>
        <v>9498</v>
      </c>
    </row>
    <row r="9" spans="1:28" x14ac:dyDescent="0.25">
      <c r="A9" s="273" t="s">
        <v>44</v>
      </c>
      <c r="B9" s="410" t="s">
        <v>140</v>
      </c>
      <c r="C9" s="434">
        <f>35000-25000</f>
        <v>10000</v>
      </c>
      <c r="D9" s="434">
        <v>5060</v>
      </c>
      <c r="E9" s="434"/>
      <c r="F9" s="720">
        <f t="shared" ref="F9:F16" si="4">SUM(C9:E9)</f>
        <v>15060</v>
      </c>
      <c r="G9" s="720">
        <f t="shared" ref="G9:G16" si="5">F9/12*9</f>
        <v>11295</v>
      </c>
      <c r="H9" s="52">
        <f t="shared" ref="H9:H16" si="6">F9/12</f>
        <v>1255</v>
      </c>
      <c r="I9" s="43"/>
      <c r="J9" s="43"/>
      <c r="K9" s="43">
        <f t="shared" ref="K9:K16" si="7">G9+H9</f>
        <v>12550</v>
      </c>
      <c r="L9" s="43"/>
      <c r="M9" s="43"/>
      <c r="N9" s="43"/>
      <c r="O9" s="43"/>
      <c r="P9" s="43"/>
      <c r="Q9" s="43"/>
      <c r="R9" s="43"/>
      <c r="S9" s="43">
        <v>5060</v>
      </c>
      <c r="T9" s="43"/>
      <c r="U9" s="43">
        <v>7500</v>
      </c>
      <c r="V9" s="43"/>
      <c r="W9" s="43"/>
      <c r="X9" s="718">
        <f t="shared" ref="X9:X16" si="8">L9+M9+N9+O9+P9+Q9+R9+S9+T9</f>
        <v>5060</v>
      </c>
      <c r="Y9" s="718">
        <f t="shared" ref="Y9:Y16" si="9">U9</f>
        <v>7500</v>
      </c>
      <c r="Z9" s="718">
        <f t="shared" si="2"/>
        <v>12560</v>
      </c>
      <c r="AA9" s="718">
        <f t="shared" ref="AA9:AA16" si="10">K9-Z9</f>
        <v>-10</v>
      </c>
      <c r="AB9" s="874">
        <f t="shared" ref="AB9:AB16" si="11">F9-Z9</f>
        <v>2500</v>
      </c>
    </row>
    <row r="10" spans="1:28" x14ac:dyDescent="0.25">
      <c r="A10" s="273" t="s">
        <v>50</v>
      </c>
      <c r="B10" s="410" t="s">
        <v>51</v>
      </c>
      <c r="C10" s="434">
        <v>10000</v>
      </c>
      <c r="D10" s="434"/>
      <c r="E10" s="434"/>
      <c r="F10" s="720">
        <f t="shared" si="4"/>
        <v>10000</v>
      </c>
      <c r="G10" s="720">
        <f t="shared" si="5"/>
        <v>7500</v>
      </c>
      <c r="H10" s="52">
        <f t="shared" si="6"/>
        <v>833.33333333333337</v>
      </c>
      <c r="I10" s="43"/>
      <c r="J10" s="43"/>
      <c r="K10" s="43">
        <f t="shared" si="7"/>
        <v>8333.3333333333339</v>
      </c>
      <c r="L10" s="43"/>
      <c r="M10" s="43"/>
      <c r="N10" s="43">
        <v>2069</v>
      </c>
      <c r="O10" s="43"/>
      <c r="P10" s="43"/>
      <c r="Q10" s="43">
        <f>800+1555+1395</f>
        <v>3750</v>
      </c>
      <c r="R10" s="43"/>
      <c r="S10" s="43">
        <v>2445</v>
      </c>
      <c r="T10" s="43">
        <v>370</v>
      </c>
      <c r="U10" s="43"/>
      <c r="V10" s="43"/>
      <c r="W10" s="43"/>
      <c r="X10" s="718">
        <f t="shared" si="8"/>
        <v>8634</v>
      </c>
      <c r="Y10" s="718">
        <f t="shared" si="9"/>
        <v>0</v>
      </c>
      <c r="Z10" s="718">
        <f t="shared" si="2"/>
        <v>8634</v>
      </c>
      <c r="AA10" s="718">
        <f t="shared" si="10"/>
        <v>-300.66666666666606</v>
      </c>
      <c r="AB10" s="874">
        <f>F10-Z10</f>
        <v>1366</v>
      </c>
    </row>
    <row r="11" spans="1:28" x14ac:dyDescent="0.25">
      <c r="A11" s="273" t="s">
        <v>55</v>
      </c>
      <c r="B11" s="410" t="s">
        <v>56</v>
      </c>
      <c r="C11" s="434">
        <v>10000</v>
      </c>
      <c r="D11" s="434"/>
      <c r="E11" s="434"/>
      <c r="F11" s="720">
        <f>SUM(C11:E11)</f>
        <v>10000</v>
      </c>
      <c r="G11" s="720">
        <f t="shared" si="5"/>
        <v>7500</v>
      </c>
      <c r="H11" s="52">
        <f t="shared" si="6"/>
        <v>833.33333333333337</v>
      </c>
      <c r="I11" s="43"/>
      <c r="J11" s="43"/>
      <c r="K11" s="43">
        <f t="shared" si="7"/>
        <v>8333.3333333333339</v>
      </c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718">
        <f t="shared" si="8"/>
        <v>0</v>
      </c>
      <c r="Y11" s="718">
        <f t="shared" si="9"/>
        <v>0</v>
      </c>
      <c r="Z11" s="718">
        <f t="shared" si="2"/>
        <v>0</v>
      </c>
      <c r="AA11" s="718">
        <f t="shared" si="10"/>
        <v>8333.3333333333339</v>
      </c>
      <c r="AB11" s="874">
        <f t="shared" si="11"/>
        <v>10000</v>
      </c>
    </row>
    <row r="12" spans="1:28" x14ac:dyDescent="0.25">
      <c r="A12" s="273" t="s">
        <v>405</v>
      </c>
      <c r="B12" s="410" t="s">
        <v>150</v>
      </c>
      <c r="C12" s="434">
        <f>15000+25000</f>
        <v>40000</v>
      </c>
      <c r="D12" s="434"/>
      <c r="E12" s="434"/>
      <c r="F12" s="720">
        <f t="shared" si="4"/>
        <v>40000</v>
      </c>
      <c r="G12" s="720">
        <f t="shared" si="5"/>
        <v>30000</v>
      </c>
      <c r="H12" s="52">
        <f t="shared" si="6"/>
        <v>3333.3333333333335</v>
      </c>
      <c r="I12" s="43"/>
      <c r="J12" s="43"/>
      <c r="K12" s="43">
        <f t="shared" si="7"/>
        <v>33333.333333333336</v>
      </c>
      <c r="L12" s="43"/>
      <c r="M12" s="43"/>
      <c r="N12" s="43"/>
      <c r="O12" s="43"/>
      <c r="P12" s="43"/>
      <c r="Q12" s="43"/>
      <c r="R12" s="43">
        <v>6275</v>
      </c>
      <c r="S12" s="43">
        <v>6200</v>
      </c>
      <c r="T12" s="43"/>
      <c r="U12" s="43"/>
      <c r="V12" s="43"/>
      <c r="W12" s="43"/>
      <c r="X12" s="718">
        <f t="shared" si="8"/>
        <v>12475</v>
      </c>
      <c r="Y12" s="718">
        <f t="shared" si="9"/>
        <v>0</v>
      </c>
      <c r="Z12" s="718">
        <f t="shared" si="2"/>
        <v>12475</v>
      </c>
      <c r="AA12" s="718">
        <f t="shared" si="10"/>
        <v>20858.333333333336</v>
      </c>
      <c r="AB12" s="874">
        <f t="shared" si="11"/>
        <v>27525</v>
      </c>
    </row>
    <row r="13" spans="1:28" x14ac:dyDescent="0.25">
      <c r="A13" s="273" t="s">
        <v>481</v>
      </c>
      <c r="B13" s="410" t="s">
        <v>60</v>
      </c>
      <c r="C13" s="434">
        <v>6000</v>
      </c>
      <c r="D13" s="434"/>
      <c r="E13" s="434">
        <v>500</v>
      </c>
      <c r="F13" s="720">
        <f t="shared" si="4"/>
        <v>6500</v>
      </c>
      <c r="G13" s="720">
        <f t="shared" si="5"/>
        <v>4875</v>
      </c>
      <c r="H13" s="52">
        <f t="shared" si="6"/>
        <v>541.66666666666663</v>
      </c>
      <c r="I13" s="43"/>
      <c r="J13" s="43"/>
      <c r="K13" s="43">
        <f t="shared" si="7"/>
        <v>5416.666666666667</v>
      </c>
      <c r="L13" s="43">
        <v>500</v>
      </c>
      <c r="M13" s="43">
        <v>500</v>
      </c>
      <c r="N13" s="43">
        <v>500</v>
      </c>
      <c r="O13" s="43">
        <v>500</v>
      </c>
      <c r="P13" s="43">
        <v>500</v>
      </c>
      <c r="Q13" s="43">
        <v>500</v>
      </c>
      <c r="R13" s="43">
        <v>500</v>
      </c>
      <c r="S13" s="43">
        <v>500</v>
      </c>
      <c r="T13" s="43">
        <v>500</v>
      </c>
      <c r="U13" s="43">
        <v>500</v>
      </c>
      <c r="V13" s="43"/>
      <c r="W13" s="43"/>
      <c r="X13" s="718">
        <f t="shared" si="8"/>
        <v>4500</v>
      </c>
      <c r="Y13" s="718">
        <f>U13</f>
        <v>500</v>
      </c>
      <c r="Z13" s="718">
        <f t="shared" si="2"/>
        <v>5000</v>
      </c>
      <c r="AA13" s="718">
        <f t="shared" si="10"/>
        <v>416.66666666666697</v>
      </c>
      <c r="AB13" s="874">
        <f t="shared" si="11"/>
        <v>1500</v>
      </c>
    </row>
    <row r="14" spans="1:28" x14ac:dyDescent="0.25">
      <c r="A14" s="273" t="s">
        <v>226</v>
      </c>
      <c r="B14" s="410" t="s">
        <v>225</v>
      </c>
      <c r="C14" s="434">
        <f>93000</f>
        <v>93000</v>
      </c>
      <c r="D14" s="434"/>
      <c r="E14" s="434">
        <v>7500</v>
      </c>
      <c r="F14" s="720">
        <f t="shared" si="4"/>
        <v>100500</v>
      </c>
      <c r="G14" s="720">
        <f t="shared" si="5"/>
        <v>75375</v>
      </c>
      <c r="H14" s="52">
        <f t="shared" si="6"/>
        <v>8375</v>
      </c>
      <c r="I14" s="43"/>
      <c r="J14" s="43"/>
      <c r="K14" s="43">
        <f t="shared" si="7"/>
        <v>83750</v>
      </c>
      <c r="L14" s="43">
        <v>5790</v>
      </c>
      <c r="M14" s="43">
        <v>7500</v>
      </c>
      <c r="N14" s="43">
        <v>7500</v>
      </c>
      <c r="O14" s="43">
        <v>7500</v>
      </c>
      <c r="P14" s="43">
        <v>7500</v>
      </c>
      <c r="Q14" s="43">
        <v>8520</v>
      </c>
      <c r="R14" s="43">
        <v>5450</v>
      </c>
      <c r="S14" s="43">
        <v>7500</v>
      </c>
      <c r="T14" s="43">
        <v>7500</v>
      </c>
      <c r="U14" s="43">
        <v>7500</v>
      </c>
      <c r="V14" s="43"/>
      <c r="W14" s="43"/>
      <c r="X14" s="718">
        <f t="shared" si="8"/>
        <v>64760</v>
      </c>
      <c r="Y14" s="718">
        <f t="shared" si="9"/>
        <v>7500</v>
      </c>
      <c r="Z14" s="718">
        <f t="shared" ref="Z14:Z16" si="12">X14+Y14</f>
        <v>72260</v>
      </c>
      <c r="AA14" s="718">
        <f t="shared" si="10"/>
        <v>11490</v>
      </c>
      <c r="AB14" s="874">
        <f t="shared" si="11"/>
        <v>28240</v>
      </c>
    </row>
    <row r="15" spans="1:28" x14ac:dyDescent="0.25">
      <c r="A15" s="273" t="s">
        <v>645</v>
      </c>
      <c r="B15" s="410" t="s">
        <v>158</v>
      </c>
      <c r="C15" s="434"/>
      <c r="D15" s="434"/>
      <c r="E15" s="434"/>
      <c r="F15" s="720">
        <f t="shared" si="4"/>
        <v>0</v>
      </c>
      <c r="G15" s="720">
        <f t="shared" si="5"/>
        <v>0</v>
      </c>
      <c r="H15" s="52">
        <f t="shared" si="6"/>
        <v>0</v>
      </c>
      <c r="I15" s="43"/>
      <c r="J15" s="43"/>
      <c r="K15" s="43">
        <f t="shared" si="7"/>
        <v>0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718">
        <f t="shared" si="8"/>
        <v>0</v>
      </c>
      <c r="Y15" s="718">
        <f t="shared" si="9"/>
        <v>0</v>
      </c>
      <c r="Z15" s="718">
        <f t="shared" si="12"/>
        <v>0</v>
      </c>
      <c r="AA15" s="718">
        <f t="shared" si="10"/>
        <v>0</v>
      </c>
      <c r="AB15" s="874">
        <f t="shared" si="11"/>
        <v>0</v>
      </c>
    </row>
    <row r="16" spans="1:28" x14ac:dyDescent="0.25">
      <c r="A16" s="383" t="s">
        <v>646</v>
      </c>
      <c r="B16" s="46"/>
      <c r="C16" s="434">
        <f>75000+75000</f>
        <v>150000</v>
      </c>
      <c r="D16" s="434"/>
      <c r="E16" s="434"/>
      <c r="F16" s="720">
        <f t="shared" si="4"/>
        <v>150000</v>
      </c>
      <c r="G16" s="720">
        <f t="shared" si="5"/>
        <v>112500</v>
      </c>
      <c r="H16" s="52">
        <f t="shared" si="6"/>
        <v>12500</v>
      </c>
      <c r="I16" s="43"/>
      <c r="J16" s="43"/>
      <c r="K16" s="43">
        <f t="shared" si="7"/>
        <v>125000</v>
      </c>
      <c r="L16" s="43"/>
      <c r="M16" s="43"/>
      <c r="N16" s="43"/>
      <c r="O16" s="43">
        <v>27561</v>
      </c>
      <c r="P16" s="43">
        <v>10300</v>
      </c>
      <c r="Q16" s="43"/>
      <c r="R16" s="43"/>
      <c r="S16" s="43"/>
      <c r="T16" s="43"/>
      <c r="U16" s="43"/>
      <c r="V16" s="43"/>
      <c r="W16" s="43"/>
      <c r="X16" s="718">
        <f t="shared" si="8"/>
        <v>37861</v>
      </c>
      <c r="Y16" s="718">
        <f t="shared" si="9"/>
        <v>0</v>
      </c>
      <c r="Z16" s="718">
        <f t="shared" si="12"/>
        <v>37861</v>
      </c>
      <c r="AA16" s="718">
        <f t="shared" si="10"/>
        <v>87139</v>
      </c>
      <c r="AB16" s="874">
        <f t="shared" si="11"/>
        <v>112139</v>
      </c>
    </row>
    <row r="17" spans="1:28" s="443" customFormat="1" ht="12.75" x14ac:dyDescent="0.2">
      <c r="A17" s="53" t="s">
        <v>108</v>
      </c>
      <c r="B17" s="441"/>
      <c r="C17" s="78">
        <f>SUM(C8:C16)</f>
        <v>332750</v>
      </c>
      <c r="D17" s="726">
        <f>SUM(D8:D16)</f>
        <v>5060</v>
      </c>
      <c r="E17" s="726">
        <f>SUM(E8:E16)</f>
        <v>8000</v>
      </c>
      <c r="F17" s="78">
        <f t="shared" ref="F17:AB17" si="13">SUM(F8:F16)</f>
        <v>345810</v>
      </c>
      <c r="G17" s="78">
        <f t="shared" si="13"/>
        <v>259357.5</v>
      </c>
      <c r="H17" s="78">
        <f t="shared" si="13"/>
        <v>28817.5</v>
      </c>
      <c r="I17" s="78">
        <f t="shared" si="13"/>
        <v>0</v>
      </c>
      <c r="J17" s="78">
        <f t="shared" si="13"/>
        <v>0</v>
      </c>
      <c r="K17" s="78">
        <f t="shared" si="13"/>
        <v>288175</v>
      </c>
      <c r="L17" s="78">
        <f t="shared" si="13"/>
        <v>6290</v>
      </c>
      <c r="M17" s="78">
        <f t="shared" si="13"/>
        <v>8000</v>
      </c>
      <c r="N17" s="78">
        <f t="shared" si="13"/>
        <v>10069</v>
      </c>
      <c r="O17" s="78">
        <f t="shared" si="13"/>
        <v>35561</v>
      </c>
      <c r="P17" s="78">
        <f t="shared" si="13"/>
        <v>18300</v>
      </c>
      <c r="Q17" s="78">
        <f t="shared" si="13"/>
        <v>12770</v>
      </c>
      <c r="R17" s="78">
        <f t="shared" si="13"/>
        <v>12225</v>
      </c>
      <c r="S17" s="78">
        <f t="shared" si="13"/>
        <v>23037</v>
      </c>
      <c r="T17" s="78">
        <f t="shared" si="13"/>
        <v>8370</v>
      </c>
      <c r="U17" s="78">
        <f t="shared" si="13"/>
        <v>18420</v>
      </c>
      <c r="V17" s="78">
        <f t="shared" si="13"/>
        <v>0</v>
      </c>
      <c r="W17" s="78">
        <f t="shared" si="13"/>
        <v>0</v>
      </c>
      <c r="X17" s="78">
        <f t="shared" si="13"/>
        <v>134622</v>
      </c>
      <c r="Y17" s="78">
        <f t="shared" si="13"/>
        <v>18420</v>
      </c>
      <c r="Z17" s="78">
        <f t="shared" si="13"/>
        <v>153042</v>
      </c>
      <c r="AA17" s="78">
        <f t="shared" si="13"/>
        <v>135133</v>
      </c>
      <c r="AB17" s="78">
        <f t="shared" si="13"/>
        <v>192768</v>
      </c>
    </row>
    <row r="18" spans="1:28" x14ac:dyDescent="0.25">
      <c r="A18" s="53" t="s">
        <v>320</v>
      </c>
      <c r="B18" s="46"/>
      <c r="C18" s="52"/>
      <c r="D18" s="720"/>
      <c r="E18" s="720"/>
      <c r="F18" s="52"/>
      <c r="G18" s="52"/>
      <c r="H18" s="52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77"/>
      <c r="AA18" s="43"/>
      <c r="AB18" s="89"/>
    </row>
    <row r="19" spans="1:28" x14ac:dyDescent="0.25">
      <c r="A19" s="873" t="s">
        <v>753</v>
      </c>
      <c r="B19" s="46"/>
      <c r="C19" s="52">
        <v>1000000</v>
      </c>
      <c r="D19" s="720"/>
      <c r="E19" s="720"/>
      <c r="F19" s="720">
        <f t="shared" ref="F19:F21" si="14">SUM(C19:E19)</f>
        <v>1000000</v>
      </c>
      <c r="G19" s="52">
        <f>F19</f>
        <v>1000000</v>
      </c>
      <c r="H19" s="52">
        <f>F19</f>
        <v>1000000</v>
      </c>
      <c r="I19" s="43"/>
      <c r="J19" s="43"/>
      <c r="K19" s="43">
        <f>F19</f>
        <v>1000000</v>
      </c>
      <c r="L19" s="43"/>
      <c r="M19" s="43"/>
      <c r="N19" s="43"/>
      <c r="O19" s="43"/>
      <c r="P19" s="43"/>
      <c r="Q19" s="43"/>
      <c r="R19" s="43"/>
      <c r="S19" s="43"/>
      <c r="T19" s="43"/>
      <c r="U19" s="43">
        <v>1000000</v>
      </c>
      <c r="V19" s="43"/>
      <c r="W19" s="43"/>
      <c r="X19" s="718">
        <f t="shared" ref="X19:X21" si="15">L19+M19+N19+O19+P19+Q19+R19+S19+T19</f>
        <v>0</v>
      </c>
      <c r="Y19" s="718">
        <f t="shared" ref="Y19:Y21" si="16">U19</f>
        <v>1000000</v>
      </c>
      <c r="Z19" s="725">
        <f t="shared" ref="Z19:Z21" si="17">X19+Y19</f>
        <v>1000000</v>
      </c>
      <c r="AA19" s="718">
        <f t="shared" ref="AA19:AA21" si="18">K19-Z19</f>
        <v>0</v>
      </c>
      <c r="AB19" s="874">
        <f t="shared" ref="AB19:AB21" si="19">F19-Z19</f>
        <v>0</v>
      </c>
    </row>
    <row r="20" spans="1:28" x14ac:dyDescent="0.25">
      <c r="A20" s="873" t="s">
        <v>1203</v>
      </c>
      <c r="B20" s="46"/>
      <c r="C20" s="52">
        <v>150000</v>
      </c>
      <c r="D20" s="720"/>
      <c r="E20" s="720"/>
      <c r="F20" s="720">
        <f t="shared" si="14"/>
        <v>150000</v>
      </c>
      <c r="G20" s="720">
        <f t="shared" ref="G20:G21" si="20">F20</f>
        <v>150000</v>
      </c>
      <c r="H20" s="720">
        <f t="shared" ref="H20:H21" si="21">F20</f>
        <v>150000</v>
      </c>
      <c r="I20" s="43"/>
      <c r="J20" s="43"/>
      <c r="K20" s="718">
        <f t="shared" ref="K20:K21" si="22">F20</f>
        <v>150000</v>
      </c>
      <c r="L20" s="43"/>
      <c r="M20" s="43"/>
      <c r="N20" s="43"/>
      <c r="O20" s="43"/>
      <c r="P20" s="43">
        <v>150000</v>
      </c>
      <c r="Q20" s="43"/>
      <c r="R20" s="43"/>
      <c r="S20" s="43"/>
      <c r="T20" s="43"/>
      <c r="U20" s="43"/>
      <c r="V20" s="43"/>
      <c r="W20" s="43"/>
      <c r="X20" s="718">
        <f t="shared" si="15"/>
        <v>150000</v>
      </c>
      <c r="Y20" s="718">
        <f t="shared" si="16"/>
        <v>0</v>
      </c>
      <c r="Z20" s="718">
        <f t="shared" si="17"/>
        <v>150000</v>
      </c>
      <c r="AA20" s="718">
        <f t="shared" si="18"/>
        <v>0</v>
      </c>
      <c r="AB20" s="874">
        <f t="shared" si="19"/>
        <v>0</v>
      </c>
    </row>
    <row r="21" spans="1:28" x14ac:dyDescent="0.25">
      <c r="A21" s="872" t="s">
        <v>1115</v>
      </c>
      <c r="B21" s="46"/>
      <c r="C21" s="52">
        <v>200</v>
      </c>
      <c r="D21" s="720"/>
      <c r="E21" s="720">
        <f>-200</f>
        <v>-200</v>
      </c>
      <c r="F21" s="720">
        <f t="shared" si="14"/>
        <v>0</v>
      </c>
      <c r="G21" s="720">
        <f t="shared" si="20"/>
        <v>0</v>
      </c>
      <c r="H21" s="720">
        <f t="shared" si="21"/>
        <v>0</v>
      </c>
      <c r="I21" s="43"/>
      <c r="J21" s="43"/>
      <c r="K21" s="718">
        <f t="shared" si="22"/>
        <v>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718">
        <f t="shared" si="15"/>
        <v>0</v>
      </c>
      <c r="Y21" s="718">
        <f t="shared" si="16"/>
        <v>0</v>
      </c>
      <c r="Z21" s="718">
        <f t="shared" si="17"/>
        <v>0</v>
      </c>
      <c r="AA21" s="718">
        <f t="shared" si="18"/>
        <v>0</v>
      </c>
      <c r="AB21" s="874">
        <f t="shared" si="19"/>
        <v>0</v>
      </c>
    </row>
    <row r="22" spans="1:28" s="21" customFormat="1" x14ac:dyDescent="0.25">
      <c r="A22" s="53" t="s">
        <v>333</v>
      </c>
      <c r="B22" s="188"/>
      <c r="C22" s="78">
        <f t="shared" ref="C22:AB22" si="23">SUM(C19:C21)</f>
        <v>1150200</v>
      </c>
      <c r="D22" s="726">
        <f t="shared" si="23"/>
        <v>0</v>
      </c>
      <c r="E22" s="726">
        <f t="shared" si="23"/>
        <v>-200</v>
      </c>
      <c r="F22" s="726">
        <f t="shared" si="23"/>
        <v>1150000</v>
      </c>
      <c r="G22" s="726">
        <f t="shared" si="23"/>
        <v>1150000</v>
      </c>
      <c r="H22" s="726">
        <f t="shared" si="23"/>
        <v>1150000</v>
      </c>
      <c r="I22" s="726">
        <f t="shared" si="23"/>
        <v>0</v>
      </c>
      <c r="J22" s="726">
        <f t="shared" si="23"/>
        <v>0</v>
      </c>
      <c r="K22" s="726">
        <f t="shared" si="23"/>
        <v>1150000</v>
      </c>
      <c r="L22" s="726">
        <f t="shared" si="23"/>
        <v>0</v>
      </c>
      <c r="M22" s="726">
        <f t="shared" si="23"/>
        <v>0</v>
      </c>
      <c r="N22" s="726">
        <f t="shared" si="23"/>
        <v>0</v>
      </c>
      <c r="O22" s="726">
        <f t="shared" si="23"/>
        <v>0</v>
      </c>
      <c r="P22" s="726">
        <f t="shared" si="23"/>
        <v>150000</v>
      </c>
      <c r="Q22" s="726">
        <f t="shared" si="23"/>
        <v>0</v>
      </c>
      <c r="R22" s="726">
        <f t="shared" si="23"/>
        <v>0</v>
      </c>
      <c r="S22" s="726">
        <f t="shared" si="23"/>
        <v>0</v>
      </c>
      <c r="T22" s="726">
        <f t="shared" si="23"/>
        <v>0</v>
      </c>
      <c r="U22" s="726">
        <f t="shared" si="23"/>
        <v>1000000</v>
      </c>
      <c r="V22" s="726">
        <f t="shared" si="23"/>
        <v>0</v>
      </c>
      <c r="W22" s="726">
        <f t="shared" si="23"/>
        <v>0</v>
      </c>
      <c r="X22" s="726">
        <f t="shared" si="23"/>
        <v>150000</v>
      </c>
      <c r="Y22" s="726">
        <f t="shared" si="23"/>
        <v>1000000</v>
      </c>
      <c r="Z22" s="726">
        <f t="shared" si="23"/>
        <v>1150000</v>
      </c>
      <c r="AA22" s="726">
        <f t="shared" si="23"/>
        <v>0</v>
      </c>
      <c r="AB22" s="78">
        <f t="shared" si="23"/>
        <v>0</v>
      </c>
    </row>
    <row r="23" spans="1:28" s="951" customFormat="1" x14ac:dyDescent="0.25">
      <c r="A23" s="358" t="s">
        <v>319</v>
      </c>
      <c r="B23" s="952"/>
      <c r="C23" s="720"/>
      <c r="D23" s="720"/>
      <c r="E23" s="720"/>
      <c r="F23" s="720"/>
      <c r="G23" s="720"/>
      <c r="H23" s="720"/>
      <c r="I23" s="718"/>
      <c r="J23" s="718"/>
      <c r="K23" s="718"/>
      <c r="L23" s="718"/>
      <c r="M23" s="718"/>
      <c r="N23" s="718"/>
      <c r="O23" s="718"/>
      <c r="P23" s="718"/>
      <c r="Q23" s="718"/>
      <c r="R23" s="718"/>
      <c r="S23" s="718"/>
      <c r="T23" s="718"/>
      <c r="U23" s="718"/>
      <c r="V23" s="718"/>
      <c r="W23" s="718"/>
      <c r="X23" s="718"/>
      <c r="Y23" s="718"/>
      <c r="Z23" s="725"/>
      <c r="AA23" s="718"/>
      <c r="AB23" s="874"/>
    </row>
    <row r="24" spans="1:28" s="951" customFormat="1" x14ac:dyDescent="0.25">
      <c r="A24" s="1071" t="s">
        <v>1202</v>
      </c>
      <c r="B24" s="952"/>
      <c r="C24" s="720"/>
      <c r="D24" s="720"/>
      <c r="E24" s="720">
        <v>300000</v>
      </c>
      <c r="F24" s="720">
        <f>SUM(C24:E24)</f>
        <v>300000</v>
      </c>
      <c r="G24" s="720">
        <f t="shared" ref="G24" si="24">F24</f>
        <v>300000</v>
      </c>
      <c r="H24" s="720">
        <f t="shared" ref="H24" si="25">F24</f>
        <v>300000</v>
      </c>
      <c r="I24" s="718"/>
      <c r="J24" s="718"/>
      <c r="K24" s="718">
        <f t="shared" ref="K24" si="26">F24</f>
        <v>300000</v>
      </c>
      <c r="L24" s="718"/>
      <c r="M24" s="718"/>
      <c r="N24" s="718"/>
      <c r="O24" s="718"/>
      <c r="P24" s="718">
        <v>300000</v>
      </c>
      <c r="Q24" s="718"/>
      <c r="R24" s="718"/>
      <c r="S24" s="718"/>
      <c r="T24" s="718"/>
      <c r="U24" s="718"/>
      <c r="V24" s="718"/>
      <c r="W24" s="718"/>
      <c r="X24" s="718">
        <f t="shared" ref="X24" si="27">L24+M24+N24+O24+P24+Q24+R24+S24+T24</f>
        <v>300000</v>
      </c>
      <c r="Y24" s="718">
        <f t="shared" ref="Y24" si="28">U24</f>
        <v>0</v>
      </c>
      <c r="Z24" s="718">
        <f t="shared" ref="Z24" si="29">X24+Y24</f>
        <v>300000</v>
      </c>
      <c r="AA24" s="718">
        <f t="shared" ref="AA24" si="30">K24-Z24</f>
        <v>0</v>
      </c>
      <c r="AB24" s="874">
        <f t="shared" ref="AB24" si="31">F24-Z24</f>
        <v>0</v>
      </c>
    </row>
    <row r="25" spans="1:28" s="715" customFormat="1" x14ac:dyDescent="0.25">
      <c r="A25" s="875" t="s">
        <v>332</v>
      </c>
      <c r="B25" s="868"/>
      <c r="C25" s="726">
        <f>SUM(C23:C24)</f>
        <v>0</v>
      </c>
      <c r="D25" s="726">
        <f>SUM(D23:D24)</f>
        <v>0</v>
      </c>
      <c r="E25" s="726">
        <f>SUM(E23:E24)</f>
        <v>300000</v>
      </c>
      <c r="F25" s="726">
        <f t="shared" ref="F25:AA25" si="32">SUM(F23:F24)</f>
        <v>300000</v>
      </c>
      <c r="G25" s="726">
        <f t="shared" si="32"/>
        <v>300000</v>
      </c>
      <c r="H25" s="726">
        <f t="shared" si="32"/>
        <v>300000</v>
      </c>
      <c r="I25" s="726">
        <f t="shared" si="32"/>
        <v>0</v>
      </c>
      <c r="J25" s="726">
        <f t="shared" si="32"/>
        <v>0</v>
      </c>
      <c r="K25" s="726">
        <f t="shared" si="32"/>
        <v>300000</v>
      </c>
      <c r="L25" s="726">
        <f t="shared" si="32"/>
        <v>0</v>
      </c>
      <c r="M25" s="726">
        <f t="shared" si="32"/>
        <v>0</v>
      </c>
      <c r="N25" s="726">
        <f t="shared" si="32"/>
        <v>0</v>
      </c>
      <c r="O25" s="726">
        <f t="shared" si="32"/>
        <v>0</v>
      </c>
      <c r="P25" s="726">
        <f t="shared" si="32"/>
        <v>300000</v>
      </c>
      <c r="Q25" s="726">
        <f t="shared" si="32"/>
        <v>0</v>
      </c>
      <c r="R25" s="726">
        <f t="shared" si="32"/>
        <v>0</v>
      </c>
      <c r="S25" s="726">
        <f t="shared" si="32"/>
        <v>0</v>
      </c>
      <c r="T25" s="726">
        <f t="shared" si="32"/>
        <v>0</v>
      </c>
      <c r="U25" s="726">
        <f t="shared" si="32"/>
        <v>0</v>
      </c>
      <c r="V25" s="726">
        <f t="shared" si="32"/>
        <v>0</v>
      </c>
      <c r="W25" s="726">
        <f t="shared" si="32"/>
        <v>0</v>
      </c>
      <c r="X25" s="726">
        <f t="shared" si="32"/>
        <v>300000</v>
      </c>
      <c r="Y25" s="726">
        <f t="shared" si="32"/>
        <v>0</v>
      </c>
      <c r="Z25" s="726">
        <f t="shared" si="32"/>
        <v>300000</v>
      </c>
      <c r="AA25" s="726">
        <f t="shared" si="32"/>
        <v>0</v>
      </c>
      <c r="AB25" s="726">
        <f>SUM(AB23:AB24)</f>
        <v>0</v>
      </c>
    </row>
    <row r="26" spans="1:28" s="715" customFormat="1" x14ac:dyDescent="0.25">
      <c r="A26" s="875" t="s">
        <v>298</v>
      </c>
      <c r="B26" s="1072"/>
      <c r="C26" s="393">
        <f>C22+C25</f>
        <v>1150200</v>
      </c>
      <c r="D26" s="393">
        <f>D22+D25</f>
        <v>0</v>
      </c>
      <c r="E26" s="393">
        <f t="shared" ref="E26:AB26" si="33">E22+E25</f>
        <v>299800</v>
      </c>
      <c r="F26" s="393">
        <f t="shared" si="33"/>
        <v>1450000</v>
      </c>
      <c r="G26" s="393">
        <f t="shared" si="33"/>
        <v>1450000</v>
      </c>
      <c r="H26" s="393">
        <f t="shared" si="33"/>
        <v>1450000</v>
      </c>
      <c r="I26" s="393">
        <f t="shared" si="33"/>
        <v>0</v>
      </c>
      <c r="J26" s="393">
        <f t="shared" si="33"/>
        <v>0</v>
      </c>
      <c r="K26" s="393">
        <f t="shared" si="33"/>
        <v>1450000</v>
      </c>
      <c r="L26" s="393">
        <f t="shared" si="33"/>
        <v>0</v>
      </c>
      <c r="M26" s="393">
        <f t="shared" si="33"/>
        <v>0</v>
      </c>
      <c r="N26" s="393">
        <f t="shared" si="33"/>
        <v>0</v>
      </c>
      <c r="O26" s="393">
        <f t="shared" si="33"/>
        <v>0</v>
      </c>
      <c r="P26" s="393">
        <f t="shared" si="33"/>
        <v>450000</v>
      </c>
      <c r="Q26" s="393">
        <f t="shared" si="33"/>
        <v>0</v>
      </c>
      <c r="R26" s="393">
        <f t="shared" si="33"/>
        <v>0</v>
      </c>
      <c r="S26" s="393">
        <f t="shared" si="33"/>
        <v>0</v>
      </c>
      <c r="T26" s="393">
        <f t="shared" si="33"/>
        <v>0</v>
      </c>
      <c r="U26" s="393">
        <f t="shared" si="33"/>
        <v>1000000</v>
      </c>
      <c r="V26" s="393">
        <f t="shared" si="33"/>
        <v>0</v>
      </c>
      <c r="W26" s="393">
        <f t="shared" si="33"/>
        <v>0</v>
      </c>
      <c r="X26" s="393">
        <f t="shared" si="33"/>
        <v>450000</v>
      </c>
      <c r="Y26" s="393">
        <f t="shared" si="33"/>
        <v>1000000</v>
      </c>
      <c r="Z26" s="393">
        <f t="shared" si="33"/>
        <v>1450000</v>
      </c>
      <c r="AA26" s="393">
        <f t="shared" si="33"/>
        <v>0</v>
      </c>
      <c r="AB26" s="393">
        <f t="shared" si="33"/>
        <v>0</v>
      </c>
    </row>
    <row r="27" spans="1:28" s="21" customFormat="1" ht="16.5" thickBot="1" x14ac:dyDescent="0.3">
      <c r="A27" s="174" t="s">
        <v>160</v>
      </c>
      <c r="B27" s="370"/>
      <c r="C27" s="405">
        <f t="shared" ref="C27:AB27" si="34">C17+C26</f>
        <v>1482950</v>
      </c>
      <c r="D27" s="405">
        <f t="shared" ref="D27" si="35">D17+D26</f>
        <v>5060</v>
      </c>
      <c r="E27" s="405">
        <f t="shared" si="34"/>
        <v>307800</v>
      </c>
      <c r="F27" s="405">
        <f t="shared" si="34"/>
        <v>1795810</v>
      </c>
      <c r="G27" s="405">
        <f t="shared" si="34"/>
        <v>1709357.5</v>
      </c>
      <c r="H27" s="405">
        <f t="shared" si="34"/>
        <v>1478817.5</v>
      </c>
      <c r="I27" s="405">
        <f t="shared" si="34"/>
        <v>0</v>
      </c>
      <c r="J27" s="405">
        <f t="shared" si="34"/>
        <v>0</v>
      </c>
      <c r="K27" s="405">
        <f t="shared" si="34"/>
        <v>1738175</v>
      </c>
      <c r="L27" s="405">
        <f t="shared" si="34"/>
        <v>6290</v>
      </c>
      <c r="M27" s="405">
        <f t="shared" si="34"/>
        <v>8000</v>
      </c>
      <c r="N27" s="405">
        <f t="shared" si="34"/>
        <v>10069</v>
      </c>
      <c r="O27" s="405">
        <f t="shared" si="34"/>
        <v>35561</v>
      </c>
      <c r="P27" s="405">
        <f t="shared" si="34"/>
        <v>468300</v>
      </c>
      <c r="Q27" s="405">
        <f t="shared" si="34"/>
        <v>12770</v>
      </c>
      <c r="R27" s="405">
        <f t="shared" si="34"/>
        <v>12225</v>
      </c>
      <c r="S27" s="405">
        <f t="shared" si="34"/>
        <v>23037</v>
      </c>
      <c r="T27" s="405">
        <f t="shared" si="34"/>
        <v>8370</v>
      </c>
      <c r="U27" s="405">
        <f t="shared" si="34"/>
        <v>1018420</v>
      </c>
      <c r="V27" s="405">
        <f t="shared" si="34"/>
        <v>0</v>
      </c>
      <c r="W27" s="405">
        <f t="shared" si="34"/>
        <v>0</v>
      </c>
      <c r="X27" s="405">
        <f t="shared" si="34"/>
        <v>584622</v>
      </c>
      <c r="Y27" s="405">
        <f t="shared" si="34"/>
        <v>1018420</v>
      </c>
      <c r="Z27" s="405">
        <f t="shared" si="34"/>
        <v>1603042</v>
      </c>
      <c r="AA27" s="405">
        <f t="shared" si="34"/>
        <v>135133</v>
      </c>
      <c r="AB27" s="405">
        <f t="shared" si="34"/>
        <v>192768</v>
      </c>
    </row>
    <row r="28" spans="1:28" ht="15.75" thickTop="1" x14ac:dyDescent="0.25">
      <c r="A28" s="3"/>
    </row>
    <row r="29" spans="1:28" x14ac:dyDescent="0.25">
      <c r="A29" s="15"/>
      <c r="B29" s="17"/>
    </row>
    <row r="30" spans="1:28" x14ac:dyDescent="0.25">
      <c r="A30" s="4"/>
      <c r="B30" s="11"/>
      <c r="C30" s="6"/>
      <c r="D30" s="6"/>
      <c r="E30" s="6"/>
      <c r="F30" s="6"/>
      <c r="G30" s="6"/>
      <c r="H30" s="6"/>
      <c r="I30" s="6"/>
      <c r="J30" s="6"/>
      <c r="K30" s="6"/>
    </row>
    <row r="31" spans="1:28" x14ac:dyDescent="0.25">
      <c r="A31" t="s">
        <v>354</v>
      </c>
      <c r="B31" s="30"/>
      <c r="C31" s="35"/>
      <c r="D31" s="35"/>
      <c r="E31" s="35"/>
      <c r="F31" s="35"/>
      <c r="G31" s="35"/>
      <c r="H31" s="35"/>
      <c r="AA31" s="259" t="s">
        <v>357</v>
      </c>
    </row>
    <row r="32" spans="1:28" s="951" customFormat="1" x14ac:dyDescent="0.25">
      <c r="B32" s="30"/>
      <c r="C32" s="35"/>
      <c r="D32" s="35"/>
      <c r="E32" s="35"/>
      <c r="F32" s="35"/>
      <c r="G32" s="35"/>
      <c r="H32" s="35"/>
      <c r="AA32" s="743"/>
    </row>
    <row r="33" spans="1:27" s="951" customFormat="1" x14ac:dyDescent="0.25">
      <c r="B33" s="30"/>
      <c r="C33" s="35"/>
      <c r="D33" s="35"/>
      <c r="E33" s="35"/>
      <c r="F33" s="35"/>
      <c r="G33" s="35"/>
      <c r="H33" s="35"/>
      <c r="AA33" s="743"/>
    </row>
    <row r="34" spans="1:27" x14ac:dyDescent="0.25">
      <c r="B34" s="32"/>
      <c r="C34" s="36"/>
      <c r="D34" s="36"/>
      <c r="E34" s="36"/>
      <c r="F34" s="36"/>
      <c r="G34" s="36"/>
      <c r="H34" s="36"/>
    </row>
    <row r="35" spans="1:27" x14ac:dyDescent="0.25">
      <c r="A35" s="258" t="s">
        <v>355</v>
      </c>
      <c r="B35" s="14"/>
      <c r="C35" s="31"/>
      <c r="D35" s="31"/>
      <c r="E35" s="31"/>
      <c r="F35" s="31"/>
      <c r="G35" s="31"/>
      <c r="H35" s="31"/>
      <c r="AA35" s="260" t="s">
        <v>358</v>
      </c>
    </row>
    <row r="36" spans="1:27" x14ac:dyDescent="0.25">
      <c r="A36" s="259" t="s">
        <v>356</v>
      </c>
      <c r="AA36" s="259" t="s">
        <v>359</v>
      </c>
    </row>
    <row r="37" spans="1:27" x14ac:dyDescent="0.25">
      <c r="A37" s="3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.75" x14ac:dyDescent="0.25">
      <c r="A38" s="8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</sheetData>
  <mergeCells count="3">
    <mergeCell ref="A1:Z1"/>
    <mergeCell ref="A2:Z2"/>
    <mergeCell ref="A3:Z3"/>
  </mergeCells>
  <printOptions horizontalCentered="1"/>
  <pageMargins left="0.7" right="0.2" top="0.75" bottom="0.25" header="0.3" footer="0.3"/>
  <pageSetup paperSize="5" scale="6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view="pageBreakPreview" zoomScale="82" zoomScaleNormal="100" zoomScaleSheetLayoutView="82" workbookViewId="0">
      <pane xSplit="1" topLeftCell="G1" activePane="topRight" state="frozen"/>
      <selection pane="topRight" activeCell="W13" sqref="W13"/>
    </sheetView>
  </sheetViews>
  <sheetFormatPr defaultRowHeight="15" outlineLevelCol="1" x14ac:dyDescent="0.25"/>
  <cols>
    <col min="1" max="1" width="43.140625" style="712" customWidth="1"/>
    <col min="2" max="2" width="12.7109375" style="712" customWidth="1"/>
    <col min="3" max="3" width="14" style="712" customWidth="1"/>
    <col min="4" max="5" width="14" style="987" customWidth="1"/>
    <col min="6" max="8" width="14" style="712" customWidth="1"/>
    <col min="9" max="9" width="12.7109375" style="712" customWidth="1"/>
    <col min="10" max="21" width="12.7109375" style="712" hidden="1" customWidth="1" outlineLevel="1"/>
    <col min="22" max="22" width="12.7109375" style="712" customWidth="1" collapsed="1"/>
    <col min="23" max="25" width="12.7109375" style="712" customWidth="1"/>
    <col min="26" max="26" width="13.140625" style="712" customWidth="1"/>
    <col min="27" max="16384" width="9.140625" style="712"/>
  </cols>
  <sheetData>
    <row r="1" spans="1:26" x14ac:dyDescent="0.25">
      <c r="A1" s="1432" t="s">
        <v>352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1432"/>
      <c r="M1" s="1432"/>
      <c r="N1" s="1432"/>
      <c r="O1" s="1432"/>
      <c r="P1" s="1432"/>
      <c r="Q1" s="1432"/>
      <c r="R1" s="1432"/>
      <c r="S1" s="1432"/>
      <c r="T1" s="1432"/>
      <c r="U1" s="1432"/>
      <c r="V1" s="1432"/>
      <c r="W1" s="1432"/>
      <c r="X1" s="1432"/>
      <c r="Y1" s="1432"/>
      <c r="Z1" s="1432"/>
    </row>
    <row r="2" spans="1:26" x14ac:dyDescent="0.25">
      <c r="A2" s="1432" t="s">
        <v>353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1432"/>
      <c r="Y2" s="1432"/>
      <c r="Z2" s="1432"/>
    </row>
    <row r="3" spans="1:26" x14ac:dyDescent="0.25">
      <c r="A3" s="1435" t="str">
        <f>'1024-SLAUGHTER'!A3:Z3</f>
        <v>For the Period October 1-31, 2021</v>
      </c>
      <c r="B3" s="1435"/>
      <c r="C3" s="1435"/>
      <c r="D3" s="1435"/>
      <c r="E3" s="1435"/>
      <c r="F3" s="1435"/>
      <c r="G3" s="1435"/>
      <c r="H3" s="1435"/>
      <c r="I3" s="1435"/>
      <c r="J3" s="1435"/>
      <c r="K3" s="1435"/>
      <c r="L3" s="1435"/>
      <c r="M3" s="1435"/>
      <c r="N3" s="1435"/>
      <c r="O3" s="1435"/>
      <c r="P3" s="1435"/>
      <c r="Q3" s="1435"/>
      <c r="R3" s="1435"/>
      <c r="S3" s="1435"/>
      <c r="T3" s="1435"/>
      <c r="U3" s="1435"/>
      <c r="V3" s="1435"/>
      <c r="W3" s="1435"/>
      <c r="X3" s="1435"/>
      <c r="Y3" s="1435"/>
      <c r="Z3" s="1435"/>
    </row>
    <row r="4" spans="1:26" ht="26.25" x14ac:dyDescent="0.25">
      <c r="A4" s="730" t="s">
        <v>347</v>
      </c>
      <c r="B4" s="711" t="s">
        <v>2</v>
      </c>
      <c r="C4" s="711" t="s">
        <v>133</v>
      </c>
      <c r="D4" s="1073" t="s">
        <v>1204</v>
      </c>
      <c r="E4" s="1073" t="s">
        <v>1204</v>
      </c>
      <c r="F4" s="730" t="s">
        <v>1</v>
      </c>
      <c r="G4" s="730" t="s">
        <v>316</v>
      </c>
      <c r="H4" s="730" t="s">
        <v>314</v>
      </c>
      <c r="I4" s="724" t="s">
        <v>346</v>
      </c>
      <c r="J4" s="19"/>
      <c r="K4" s="19"/>
      <c r="L4" s="19"/>
      <c r="M4" s="19"/>
      <c r="N4" s="24"/>
      <c r="O4" s="24"/>
      <c r="P4" s="24"/>
      <c r="Q4" s="24"/>
      <c r="R4" s="24"/>
      <c r="S4" s="24"/>
      <c r="T4" s="24"/>
      <c r="U4" s="24"/>
      <c r="V4" s="724" t="s">
        <v>316</v>
      </c>
      <c r="W4" s="724" t="s">
        <v>348</v>
      </c>
      <c r="X4" s="724" t="s">
        <v>1</v>
      </c>
      <c r="Y4" s="724" t="s">
        <v>131</v>
      </c>
      <c r="Z4" s="724" t="s">
        <v>131</v>
      </c>
    </row>
    <row r="5" spans="1:26" ht="15.75" thickBot="1" x14ac:dyDescent="0.3">
      <c r="A5" s="25"/>
      <c r="B5" s="25" t="s">
        <v>3</v>
      </c>
      <c r="C5" s="25" t="s">
        <v>134</v>
      </c>
      <c r="D5" s="1009" t="s">
        <v>1354</v>
      </c>
      <c r="E5" s="1009" t="s">
        <v>1184</v>
      </c>
      <c r="F5" s="729" t="s">
        <v>314</v>
      </c>
      <c r="G5" s="729" t="s">
        <v>314</v>
      </c>
      <c r="H5" s="729" t="s">
        <v>315</v>
      </c>
      <c r="I5" s="723" t="s">
        <v>315</v>
      </c>
      <c r="J5" s="27" t="s">
        <v>0</v>
      </c>
      <c r="K5" s="27" t="s">
        <v>120</v>
      </c>
      <c r="L5" s="27" t="s">
        <v>121</v>
      </c>
      <c r="M5" s="27" t="s">
        <v>122</v>
      </c>
      <c r="N5" s="27" t="s">
        <v>123</v>
      </c>
      <c r="O5" s="27" t="s">
        <v>124</v>
      </c>
      <c r="P5" s="27" t="s">
        <v>125</v>
      </c>
      <c r="Q5" s="27" t="s">
        <v>126</v>
      </c>
      <c r="R5" s="27" t="s">
        <v>127</v>
      </c>
      <c r="S5" s="27" t="s">
        <v>128</v>
      </c>
      <c r="T5" s="27" t="s">
        <v>129</v>
      </c>
      <c r="U5" s="27" t="s">
        <v>130</v>
      </c>
      <c r="V5" s="723" t="s">
        <v>317</v>
      </c>
      <c r="W5" s="723" t="s">
        <v>315</v>
      </c>
      <c r="X5" s="723" t="s">
        <v>317</v>
      </c>
      <c r="Y5" s="723" t="s">
        <v>314</v>
      </c>
      <c r="Z5" s="723" t="s">
        <v>132</v>
      </c>
    </row>
    <row r="6" spans="1:26" ht="15.75" thickTop="1" x14ac:dyDescent="0.25">
      <c r="A6" s="642" t="s">
        <v>647</v>
      </c>
      <c r="B6" s="367"/>
      <c r="C6" s="367"/>
      <c r="D6" s="367"/>
      <c r="E6" s="367"/>
      <c r="F6" s="367"/>
      <c r="G6" s="367"/>
      <c r="H6" s="367"/>
      <c r="I6" s="809"/>
      <c r="J6" s="809"/>
      <c r="K6" s="809"/>
      <c r="L6" s="809"/>
      <c r="M6" s="809"/>
      <c r="N6" s="809"/>
      <c r="O6" s="809"/>
      <c r="P6" s="809"/>
      <c r="Q6" s="809"/>
      <c r="R6" s="809"/>
      <c r="S6" s="809"/>
      <c r="T6" s="809"/>
      <c r="U6" s="809"/>
      <c r="V6" s="809"/>
      <c r="W6" s="809"/>
      <c r="X6" s="809"/>
      <c r="Y6" s="809"/>
      <c r="Z6" s="367"/>
    </row>
    <row r="7" spans="1:26" x14ac:dyDescent="0.25">
      <c r="A7" s="875" t="s">
        <v>138</v>
      </c>
      <c r="B7" s="878"/>
      <c r="C7" s="880"/>
      <c r="D7" s="937"/>
      <c r="E7" s="937"/>
      <c r="F7" s="880"/>
      <c r="G7" s="880"/>
      <c r="H7" s="880"/>
      <c r="I7" s="716"/>
      <c r="J7" s="716"/>
      <c r="K7" s="716"/>
      <c r="L7" s="716"/>
      <c r="M7" s="716"/>
      <c r="N7" s="716"/>
      <c r="O7" s="716"/>
      <c r="P7" s="716"/>
      <c r="Q7" s="716"/>
      <c r="R7" s="716"/>
      <c r="S7" s="716"/>
      <c r="T7" s="716"/>
      <c r="U7" s="716"/>
      <c r="V7" s="716"/>
      <c r="W7" s="716"/>
      <c r="X7" s="989"/>
      <c r="Y7" s="716"/>
      <c r="Z7" s="880"/>
    </row>
    <row r="8" spans="1:26" x14ac:dyDescent="0.25">
      <c r="A8" s="61" t="s">
        <v>139</v>
      </c>
      <c r="B8" s="411" t="s">
        <v>43</v>
      </c>
      <c r="C8" s="434">
        <v>15000</v>
      </c>
      <c r="D8" s="434"/>
      <c r="E8" s="434"/>
      <c r="F8" s="720">
        <f>SUM(C8:E8)</f>
        <v>15000</v>
      </c>
      <c r="G8" s="720">
        <f t="shared" ref="G8" si="0">F8/12*9</f>
        <v>11250</v>
      </c>
      <c r="H8" s="720">
        <f>F8/12</f>
        <v>1250</v>
      </c>
      <c r="I8" s="716">
        <f t="shared" ref="I8:I14" si="1">G8+H8</f>
        <v>12500</v>
      </c>
      <c r="J8" s="716"/>
      <c r="K8" s="716"/>
      <c r="L8" s="716"/>
      <c r="M8" s="716"/>
      <c r="N8" s="716"/>
      <c r="O8" s="716"/>
      <c r="P8" s="716">
        <v>0</v>
      </c>
      <c r="Q8" s="716">
        <v>1524</v>
      </c>
      <c r="R8" s="716"/>
      <c r="S8" s="716"/>
      <c r="T8" s="716"/>
      <c r="U8" s="716"/>
      <c r="V8" s="716">
        <f>J8+K8+L8+M8+N8+O8+P8+Q8+R8</f>
        <v>1524</v>
      </c>
      <c r="W8" s="716">
        <f>S8</f>
        <v>0</v>
      </c>
      <c r="X8" s="989">
        <f>V8+W8</f>
        <v>1524</v>
      </c>
      <c r="Y8" s="716">
        <f>I8-X8</f>
        <v>10976</v>
      </c>
      <c r="Z8" s="881">
        <f>F8-X8</f>
        <v>13476</v>
      </c>
    </row>
    <row r="9" spans="1:26" x14ac:dyDescent="0.25">
      <c r="A9" s="61" t="s">
        <v>44</v>
      </c>
      <c r="B9" s="411" t="s">
        <v>140</v>
      </c>
      <c r="C9" s="434">
        <v>8000</v>
      </c>
      <c r="D9" s="434">
        <v>5060</v>
      </c>
      <c r="E9" s="434"/>
      <c r="F9" s="720">
        <f>SUM(C9:E9)</f>
        <v>13060</v>
      </c>
      <c r="G9" s="720">
        <f>F9/12*9</f>
        <v>9795</v>
      </c>
      <c r="H9" s="720">
        <f t="shared" ref="H9:H14" si="2">F9/12</f>
        <v>1088.3333333333333</v>
      </c>
      <c r="I9" s="716">
        <f t="shared" si="1"/>
        <v>10883.333333333334</v>
      </c>
      <c r="J9" s="716"/>
      <c r="K9" s="716"/>
      <c r="L9" s="716"/>
      <c r="M9" s="716"/>
      <c r="N9" s="716"/>
      <c r="O9" s="716"/>
      <c r="P9" s="716"/>
      <c r="Q9" s="716">
        <v>5060</v>
      </c>
      <c r="R9" s="716"/>
      <c r="S9" s="716"/>
      <c r="T9" s="716"/>
      <c r="U9" s="716"/>
      <c r="V9" s="989">
        <f t="shared" ref="V9:V19" si="3">J9+K9+L9+M9+N9+O9+P9+Q9+R9</f>
        <v>5060</v>
      </c>
      <c r="W9" s="989">
        <f t="shared" ref="W9:W19" si="4">S9</f>
        <v>0</v>
      </c>
      <c r="X9" s="989">
        <f t="shared" ref="X9:X10" si="5">V9+W9</f>
        <v>5060</v>
      </c>
      <c r="Y9" s="989">
        <f t="shared" ref="Y9:Y19" si="6">I9-X9</f>
        <v>5823.3333333333339</v>
      </c>
      <c r="Z9" s="996">
        <f t="shared" ref="Z9:Z19" si="7">F9-X9</f>
        <v>8000</v>
      </c>
    </row>
    <row r="10" spans="1:26" x14ac:dyDescent="0.25">
      <c r="A10" s="61" t="s">
        <v>50</v>
      </c>
      <c r="B10" s="411" t="s">
        <v>51</v>
      </c>
      <c r="C10" s="434">
        <v>10000</v>
      </c>
      <c r="D10" s="434"/>
      <c r="E10" s="434"/>
      <c r="F10" s="720">
        <f>SUM(C10:E10)</f>
        <v>10000</v>
      </c>
      <c r="G10" s="720">
        <f t="shared" ref="G10:G19" si="8">F10/12*9</f>
        <v>7500</v>
      </c>
      <c r="H10" s="720">
        <f t="shared" si="2"/>
        <v>833.33333333333337</v>
      </c>
      <c r="I10" s="716">
        <f t="shared" si="1"/>
        <v>8333.3333333333339</v>
      </c>
      <c r="J10" s="716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6"/>
      <c r="V10" s="989">
        <f t="shared" si="3"/>
        <v>0</v>
      </c>
      <c r="W10" s="989">
        <f t="shared" si="4"/>
        <v>0</v>
      </c>
      <c r="X10" s="989">
        <f t="shared" si="5"/>
        <v>0</v>
      </c>
      <c r="Y10" s="989">
        <f t="shared" si="6"/>
        <v>8333.3333333333339</v>
      </c>
      <c r="Z10" s="996">
        <f t="shared" si="7"/>
        <v>10000</v>
      </c>
    </row>
    <row r="11" spans="1:26" x14ac:dyDescent="0.25">
      <c r="A11" s="61" t="s">
        <v>55</v>
      </c>
      <c r="B11" s="411" t="s">
        <v>56</v>
      </c>
      <c r="C11" s="434">
        <f>35000-5000</f>
        <v>30000</v>
      </c>
      <c r="D11" s="434"/>
      <c r="E11" s="434"/>
      <c r="F11" s="720">
        <f>SUM(C11:E11)</f>
        <v>30000</v>
      </c>
      <c r="G11" s="720">
        <f t="shared" si="8"/>
        <v>22500</v>
      </c>
      <c r="H11" s="720">
        <f t="shared" si="2"/>
        <v>2500</v>
      </c>
      <c r="I11" s="716">
        <f t="shared" si="1"/>
        <v>25000</v>
      </c>
      <c r="J11" s="716"/>
      <c r="K11" s="716"/>
      <c r="L11" s="716">
        <v>1085.28</v>
      </c>
      <c r="M11" s="716">
        <v>2274.7199999999998</v>
      </c>
      <c r="N11" s="716">
        <v>3922.24</v>
      </c>
      <c r="O11" s="716">
        <v>2392.3200000000002</v>
      </c>
      <c r="P11" s="716"/>
      <c r="Q11" s="716">
        <v>3090.25</v>
      </c>
      <c r="R11" s="716">
        <v>11216.8</v>
      </c>
      <c r="S11" s="716"/>
      <c r="T11" s="716"/>
      <c r="U11" s="716"/>
      <c r="V11" s="989">
        <f t="shared" si="3"/>
        <v>23981.61</v>
      </c>
      <c r="W11" s="989">
        <f t="shared" si="4"/>
        <v>0</v>
      </c>
      <c r="X11" s="989">
        <f t="shared" ref="X11:X13" si="9">V11+W11</f>
        <v>23981.61</v>
      </c>
      <c r="Y11" s="989">
        <f t="shared" si="6"/>
        <v>1018.3899999999994</v>
      </c>
      <c r="Z11" s="996">
        <f t="shared" si="7"/>
        <v>6018.3899999999994</v>
      </c>
    </row>
    <row r="12" spans="1:26" s="1090" customFormat="1" x14ac:dyDescent="0.25">
      <c r="A12" s="518" t="s">
        <v>405</v>
      </c>
      <c r="B12" s="503" t="s">
        <v>150</v>
      </c>
      <c r="C12" s="1089">
        <f>30000+5000</f>
        <v>35000</v>
      </c>
      <c r="D12" s="1089"/>
      <c r="E12" s="1089"/>
      <c r="F12" s="677">
        <f t="shared" ref="F12:F19" si="10">SUM(C12:E12)</f>
        <v>35000</v>
      </c>
      <c r="G12" s="720">
        <f t="shared" si="8"/>
        <v>26250</v>
      </c>
      <c r="H12" s="677">
        <f t="shared" si="2"/>
        <v>2916.6666666666665</v>
      </c>
      <c r="I12" s="677">
        <f t="shared" si="1"/>
        <v>29166.666666666668</v>
      </c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989">
        <f t="shared" si="3"/>
        <v>0</v>
      </c>
      <c r="W12" s="989">
        <f t="shared" si="4"/>
        <v>0</v>
      </c>
      <c r="X12" s="677">
        <f t="shared" si="9"/>
        <v>0</v>
      </c>
      <c r="Y12" s="989">
        <f t="shared" si="6"/>
        <v>29166.666666666668</v>
      </c>
      <c r="Z12" s="996">
        <f t="shared" si="7"/>
        <v>35000</v>
      </c>
    </row>
    <row r="13" spans="1:26" x14ac:dyDescent="0.25">
      <c r="A13" s="61" t="s">
        <v>481</v>
      </c>
      <c r="B13" s="411" t="s">
        <v>60</v>
      </c>
      <c r="C13" s="434">
        <v>6000</v>
      </c>
      <c r="D13" s="434"/>
      <c r="E13" s="434"/>
      <c r="F13" s="720">
        <f t="shared" si="10"/>
        <v>6000</v>
      </c>
      <c r="G13" s="720">
        <f t="shared" si="8"/>
        <v>4500</v>
      </c>
      <c r="H13" s="720">
        <f t="shared" si="2"/>
        <v>500</v>
      </c>
      <c r="I13" s="716">
        <f t="shared" si="1"/>
        <v>5000</v>
      </c>
      <c r="J13" s="716">
        <v>360</v>
      </c>
      <c r="K13" s="716"/>
      <c r="L13" s="716">
        <v>500</v>
      </c>
      <c r="M13" s="716"/>
      <c r="N13" s="716"/>
      <c r="O13" s="716">
        <v>1500</v>
      </c>
      <c r="P13" s="716"/>
      <c r="Q13" s="716"/>
      <c r="R13" s="716"/>
      <c r="S13" s="716"/>
      <c r="T13" s="716"/>
      <c r="U13" s="716"/>
      <c r="V13" s="989">
        <f t="shared" si="3"/>
        <v>2360</v>
      </c>
      <c r="W13" s="989">
        <f t="shared" si="4"/>
        <v>0</v>
      </c>
      <c r="X13" s="989">
        <f t="shared" si="9"/>
        <v>2360</v>
      </c>
      <c r="Y13" s="989">
        <f t="shared" si="6"/>
        <v>2640</v>
      </c>
      <c r="Z13" s="996">
        <f t="shared" si="7"/>
        <v>3640</v>
      </c>
    </row>
    <row r="14" spans="1:26" x14ac:dyDescent="0.25">
      <c r="A14" s="61" t="s">
        <v>226</v>
      </c>
      <c r="B14" s="411" t="s">
        <v>225</v>
      </c>
      <c r="C14" s="434">
        <f>288000+12000+21600</f>
        <v>321600</v>
      </c>
      <c r="D14" s="434"/>
      <c r="E14" s="434"/>
      <c r="F14" s="720">
        <f t="shared" si="10"/>
        <v>321600</v>
      </c>
      <c r="G14" s="720">
        <f t="shared" si="8"/>
        <v>241200</v>
      </c>
      <c r="H14" s="720">
        <f t="shared" si="2"/>
        <v>26800</v>
      </c>
      <c r="I14" s="716">
        <f t="shared" si="1"/>
        <v>268000</v>
      </c>
      <c r="J14" s="716">
        <v>16718.189999999999</v>
      </c>
      <c r="K14" s="716">
        <v>26400</v>
      </c>
      <c r="L14" s="716">
        <v>24900</v>
      </c>
      <c r="M14" s="716">
        <v>25500</v>
      </c>
      <c r="N14" s="716">
        <v>25800</v>
      </c>
      <c r="O14" s="716">
        <v>29018.19</v>
      </c>
      <c r="P14" s="716">
        <v>18763.650000000001</v>
      </c>
      <c r="Q14" s="716">
        <v>25050</v>
      </c>
      <c r="R14" s="716">
        <v>25800</v>
      </c>
      <c r="S14" s="716">
        <v>25800</v>
      </c>
      <c r="T14" s="716"/>
      <c r="U14" s="716"/>
      <c r="V14" s="989">
        <f t="shared" si="3"/>
        <v>217950.03</v>
      </c>
      <c r="W14" s="989">
        <f t="shared" si="4"/>
        <v>25800</v>
      </c>
      <c r="X14" s="989">
        <f t="shared" ref="X14:X19" si="11">V14+W14</f>
        <v>243750.03</v>
      </c>
      <c r="Y14" s="989">
        <f t="shared" si="6"/>
        <v>24249.97</v>
      </c>
      <c r="Z14" s="996">
        <f t="shared" si="7"/>
        <v>77849.97</v>
      </c>
    </row>
    <row r="15" spans="1:26" x14ac:dyDescent="0.25">
      <c r="A15" s="61" t="s">
        <v>648</v>
      </c>
      <c r="B15" s="411" t="s">
        <v>158</v>
      </c>
      <c r="C15" s="434"/>
      <c r="D15" s="434"/>
      <c r="E15" s="434"/>
      <c r="F15" s="720">
        <f t="shared" si="10"/>
        <v>0</v>
      </c>
      <c r="G15" s="720">
        <f t="shared" si="8"/>
        <v>0</v>
      </c>
      <c r="H15" s="720">
        <f t="shared" ref="H15:H18" si="12">F15/12</f>
        <v>0</v>
      </c>
      <c r="I15" s="989">
        <f t="shared" ref="I15:I18" si="13">G15+H15</f>
        <v>0</v>
      </c>
      <c r="J15" s="716"/>
      <c r="K15" s="716"/>
      <c r="L15" s="716"/>
      <c r="M15" s="716"/>
      <c r="N15" s="716"/>
      <c r="O15" s="716"/>
      <c r="P15" s="716"/>
      <c r="Q15" s="716"/>
      <c r="R15" s="716"/>
      <c r="S15" s="716"/>
      <c r="T15" s="716"/>
      <c r="U15" s="716"/>
      <c r="V15" s="989">
        <f t="shared" si="3"/>
        <v>0</v>
      </c>
      <c r="W15" s="989">
        <f t="shared" si="4"/>
        <v>0</v>
      </c>
      <c r="X15" s="989">
        <f t="shared" si="11"/>
        <v>0</v>
      </c>
      <c r="Y15" s="989">
        <f t="shared" si="6"/>
        <v>0</v>
      </c>
      <c r="Z15" s="996">
        <f t="shared" si="7"/>
        <v>0</v>
      </c>
    </row>
    <row r="16" spans="1:26" x14ac:dyDescent="0.25">
      <c r="A16" s="276" t="s">
        <v>425</v>
      </c>
      <c r="B16" s="411"/>
      <c r="C16" s="434"/>
      <c r="D16" s="434"/>
      <c r="E16" s="434"/>
      <c r="F16" s="720">
        <f t="shared" si="10"/>
        <v>0</v>
      </c>
      <c r="G16" s="720">
        <f t="shared" si="8"/>
        <v>0</v>
      </c>
      <c r="H16" s="720">
        <f t="shared" si="12"/>
        <v>0</v>
      </c>
      <c r="I16" s="989">
        <f t="shared" si="13"/>
        <v>0</v>
      </c>
      <c r="J16" s="716"/>
      <c r="K16" s="716"/>
      <c r="L16" s="716"/>
      <c r="M16" s="716"/>
      <c r="N16" s="716"/>
      <c r="O16" s="716"/>
      <c r="P16" s="716"/>
      <c r="Q16" s="716"/>
      <c r="R16" s="716"/>
      <c r="S16" s="716"/>
      <c r="T16" s="716"/>
      <c r="U16" s="716"/>
      <c r="V16" s="989">
        <f t="shared" si="3"/>
        <v>0</v>
      </c>
      <c r="W16" s="989">
        <f t="shared" si="4"/>
        <v>0</v>
      </c>
      <c r="X16" s="989">
        <f t="shared" si="11"/>
        <v>0</v>
      </c>
      <c r="Y16" s="989">
        <f t="shared" si="6"/>
        <v>0</v>
      </c>
      <c r="Z16" s="996">
        <f t="shared" si="7"/>
        <v>0</v>
      </c>
    </row>
    <row r="17" spans="1:26" x14ac:dyDescent="0.25">
      <c r="A17" s="403" t="s">
        <v>649</v>
      </c>
      <c r="B17" s="411"/>
      <c r="C17" s="434">
        <v>50574.400000000001</v>
      </c>
      <c r="D17" s="434"/>
      <c r="E17" s="434"/>
      <c r="F17" s="720">
        <f t="shared" si="10"/>
        <v>50574.400000000001</v>
      </c>
      <c r="G17" s="720">
        <f t="shared" si="8"/>
        <v>37930.800000000003</v>
      </c>
      <c r="H17" s="720">
        <f t="shared" si="12"/>
        <v>4214.5333333333338</v>
      </c>
      <c r="I17" s="989">
        <f t="shared" si="13"/>
        <v>42145.333333333336</v>
      </c>
      <c r="J17" s="716"/>
      <c r="K17" s="716"/>
      <c r="L17" s="716"/>
      <c r="M17" s="716"/>
      <c r="N17" s="716"/>
      <c r="O17" s="716"/>
      <c r="P17" s="716"/>
      <c r="Q17" s="716"/>
      <c r="R17" s="716"/>
      <c r="S17" s="716"/>
      <c r="T17" s="716"/>
      <c r="U17" s="716"/>
      <c r="V17" s="989">
        <f t="shared" si="3"/>
        <v>0</v>
      </c>
      <c r="W17" s="989">
        <f t="shared" si="4"/>
        <v>0</v>
      </c>
      <c r="X17" s="989">
        <f t="shared" si="11"/>
        <v>0</v>
      </c>
      <c r="Y17" s="989">
        <f t="shared" si="6"/>
        <v>42145.333333333336</v>
      </c>
      <c r="Z17" s="996">
        <f t="shared" si="7"/>
        <v>50574.400000000001</v>
      </c>
    </row>
    <row r="18" spans="1:26" x14ac:dyDescent="0.25">
      <c r="A18" s="61" t="s">
        <v>650</v>
      </c>
      <c r="B18" s="411" t="s">
        <v>76</v>
      </c>
      <c r="C18" s="434"/>
      <c r="D18" s="434"/>
      <c r="E18" s="434"/>
      <c r="F18" s="720">
        <f t="shared" si="10"/>
        <v>0</v>
      </c>
      <c r="G18" s="720">
        <f t="shared" si="8"/>
        <v>0</v>
      </c>
      <c r="H18" s="720">
        <f t="shared" si="12"/>
        <v>0</v>
      </c>
      <c r="I18" s="989">
        <f t="shared" si="13"/>
        <v>0</v>
      </c>
      <c r="J18" s="716"/>
      <c r="K18" s="716"/>
      <c r="L18" s="716"/>
      <c r="M18" s="716"/>
      <c r="N18" s="716"/>
      <c r="O18" s="716"/>
      <c r="P18" s="716"/>
      <c r="Q18" s="716"/>
      <c r="R18" s="716"/>
      <c r="S18" s="716"/>
      <c r="T18" s="716"/>
      <c r="U18" s="716"/>
      <c r="V18" s="989">
        <f t="shared" si="3"/>
        <v>0</v>
      </c>
      <c r="W18" s="989">
        <f t="shared" si="4"/>
        <v>0</v>
      </c>
      <c r="X18" s="989">
        <f t="shared" si="11"/>
        <v>0</v>
      </c>
      <c r="Y18" s="989">
        <f t="shared" si="6"/>
        <v>0</v>
      </c>
      <c r="Z18" s="996">
        <f t="shared" si="7"/>
        <v>0</v>
      </c>
    </row>
    <row r="19" spans="1:26" x14ac:dyDescent="0.25">
      <c r="A19" s="276" t="s">
        <v>651</v>
      </c>
      <c r="B19" s="411"/>
      <c r="C19" s="434">
        <v>6000</v>
      </c>
      <c r="D19" s="434"/>
      <c r="E19" s="434"/>
      <c r="F19" s="720">
        <f t="shared" si="10"/>
        <v>6000</v>
      </c>
      <c r="G19" s="720">
        <f t="shared" si="8"/>
        <v>4500</v>
      </c>
      <c r="H19" s="720">
        <f t="shared" ref="H19" si="14">F19/12</f>
        <v>500</v>
      </c>
      <c r="I19" s="989">
        <f t="shared" ref="I19" si="15">G19+H19</f>
        <v>5000</v>
      </c>
      <c r="J19" s="716"/>
      <c r="K19" s="716"/>
      <c r="L19" s="716"/>
      <c r="M19" s="716"/>
      <c r="N19" s="716"/>
      <c r="O19" s="716"/>
      <c r="P19" s="716"/>
      <c r="Q19" s="716"/>
      <c r="R19" s="716"/>
      <c r="S19" s="716"/>
      <c r="T19" s="716"/>
      <c r="U19" s="716"/>
      <c r="V19" s="989">
        <f t="shared" si="3"/>
        <v>0</v>
      </c>
      <c r="W19" s="989">
        <f t="shared" si="4"/>
        <v>0</v>
      </c>
      <c r="X19" s="732">
        <f t="shared" si="11"/>
        <v>0</v>
      </c>
      <c r="Y19" s="989">
        <f t="shared" si="6"/>
        <v>5000</v>
      </c>
      <c r="Z19" s="996">
        <f t="shared" si="7"/>
        <v>6000</v>
      </c>
    </row>
    <row r="20" spans="1:26" ht="15.75" x14ac:dyDescent="0.25">
      <c r="A20" s="879" t="s">
        <v>108</v>
      </c>
      <c r="B20" s="880"/>
      <c r="C20" s="726">
        <f>SUM(C8:C19)</f>
        <v>482174.4</v>
      </c>
      <c r="D20" s="726">
        <f t="shared" ref="D20:E20" si="16">SUM(D8:D19)</f>
        <v>5060</v>
      </c>
      <c r="E20" s="726">
        <f t="shared" si="16"/>
        <v>0</v>
      </c>
      <c r="F20" s="726">
        <f t="shared" ref="F20:Z20" si="17">SUM(F8:F19)</f>
        <v>487234.4</v>
      </c>
      <c r="G20" s="726">
        <f t="shared" si="17"/>
        <v>365425.8</v>
      </c>
      <c r="H20" s="726">
        <f t="shared" si="17"/>
        <v>40602.866666666661</v>
      </c>
      <c r="I20" s="726">
        <f t="shared" si="17"/>
        <v>406028.66666666669</v>
      </c>
      <c r="J20" s="726">
        <f t="shared" si="17"/>
        <v>17078.189999999999</v>
      </c>
      <c r="K20" s="726">
        <f t="shared" si="17"/>
        <v>26400</v>
      </c>
      <c r="L20" s="726">
        <f t="shared" si="17"/>
        <v>26485.279999999999</v>
      </c>
      <c r="M20" s="726">
        <f t="shared" si="17"/>
        <v>27774.720000000001</v>
      </c>
      <c r="N20" s="726">
        <f t="shared" si="17"/>
        <v>29722.239999999998</v>
      </c>
      <c r="O20" s="726">
        <f t="shared" si="17"/>
        <v>32910.51</v>
      </c>
      <c r="P20" s="726">
        <f t="shared" si="17"/>
        <v>18763.650000000001</v>
      </c>
      <c r="Q20" s="726">
        <f t="shared" si="17"/>
        <v>34724.25</v>
      </c>
      <c r="R20" s="726">
        <f t="shared" si="17"/>
        <v>37016.800000000003</v>
      </c>
      <c r="S20" s="726">
        <f t="shared" si="17"/>
        <v>25800</v>
      </c>
      <c r="T20" s="726">
        <f t="shared" si="17"/>
        <v>0</v>
      </c>
      <c r="U20" s="726">
        <f t="shared" si="17"/>
        <v>0</v>
      </c>
      <c r="V20" s="726">
        <f t="shared" si="17"/>
        <v>250875.64</v>
      </c>
      <c r="W20" s="726">
        <f t="shared" si="17"/>
        <v>25800</v>
      </c>
      <c r="X20" s="726">
        <f t="shared" si="17"/>
        <v>276675.64</v>
      </c>
      <c r="Y20" s="726">
        <f t="shared" si="17"/>
        <v>129353.02666666667</v>
      </c>
      <c r="Z20" s="726">
        <f t="shared" si="17"/>
        <v>210558.75999999998</v>
      </c>
    </row>
    <row r="21" spans="1:26" ht="15.75" x14ac:dyDescent="0.25">
      <c r="A21" s="876" t="s">
        <v>652</v>
      </c>
      <c r="B21" s="877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</row>
    <row r="22" spans="1:26" ht="15.75" x14ac:dyDescent="0.25">
      <c r="A22" s="876" t="s">
        <v>319</v>
      </c>
      <c r="B22" s="877"/>
      <c r="C22" s="393"/>
      <c r="D22" s="393"/>
      <c r="E22" s="393"/>
      <c r="F22" s="393"/>
      <c r="G22" s="393"/>
      <c r="H22" s="393"/>
      <c r="I22" s="393"/>
      <c r="J22" s="393"/>
      <c r="K22" s="393"/>
      <c r="L22" s="393"/>
      <c r="M22" s="393"/>
      <c r="N22" s="393"/>
      <c r="O22" s="393"/>
      <c r="P22" s="393"/>
      <c r="Q22" s="393"/>
      <c r="R22" s="393"/>
      <c r="S22" s="393"/>
      <c r="T22" s="393"/>
      <c r="U22" s="393"/>
      <c r="V22" s="393"/>
      <c r="W22" s="393"/>
      <c r="X22" s="393"/>
      <c r="Y22" s="393"/>
      <c r="Z22" s="393"/>
    </row>
    <row r="23" spans="1:26" x14ac:dyDescent="0.25">
      <c r="A23" s="447" t="s">
        <v>425</v>
      </c>
      <c r="B23" s="448" t="s">
        <v>654</v>
      </c>
      <c r="C23" s="726"/>
      <c r="D23" s="726"/>
      <c r="E23" s="726"/>
      <c r="F23" s="726"/>
      <c r="G23" s="726"/>
      <c r="H23" s="726"/>
      <c r="I23" s="726"/>
      <c r="J23" s="726"/>
      <c r="K23" s="726"/>
      <c r="L23" s="726"/>
      <c r="M23" s="726"/>
      <c r="N23" s="726"/>
      <c r="O23" s="726"/>
      <c r="P23" s="449"/>
      <c r="Q23" s="726"/>
      <c r="R23" s="726"/>
      <c r="S23" s="726"/>
      <c r="T23" s="726"/>
      <c r="U23" s="726"/>
      <c r="V23" s="989">
        <f t="shared" ref="V23:V24" si="18">J23+K23+L23+M23+N23+O23+P23+Q23+R23</f>
        <v>0</v>
      </c>
      <c r="W23" s="989">
        <f t="shared" ref="W23:W24" si="19">S23</f>
        <v>0</v>
      </c>
      <c r="X23" s="990">
        <f t="shared" ref="X23" si="20">V23+W23</f>
        <v>0</v>
      </c>
      <c r="Y23" s="989">
        <f t="shared" ref="Y23:Y24" si="21">I23-X23</f>
        <v>0</v>
      </c>
      <c r="Z23" s="996">
        <f t="shared" ref="Z23:Z24" si="22">F23-X23</f>
        <v>0</v>
      </c>
    </row>
    <row r="24" spans="1:26" s="446" customFormat="1" x14ac:dyDescent="0.25">
      <c r="A24" s="816" t="s">
        <v>653</v>
      </c>
      <c r="B24" s="448"/>
      <c r="C24" s="199">
        <v>50000</v>
      </c>
      <c r="D24" s="199"/>
      <c r="E24" s="199"/>
      <c r="F24" s="720">
        <f t="shared" ref="F24" si="23">SUM(C24:E24)</f>
        <v>50000</v>
      </c>
      <c r="G24" s="693">
        <f>F24</f>
        <v>50000</v>
      </c>
      <c r="H24" s="1006">
        <f>F24</f>
        <v>50000</v>
      </c>
      <c r="I24" s="1007">
        <f>F24</f>
        <v>50000</v>
      </c>
      <c r="J24" s="449"/>
      <c r="K24" s="449"/>
      <c r="L24" s="449"/>
      <c r="M24" s="449"/>
      <c r="N24" s="449"/>
      <c r="O24" s="449"/>
      <c r="P24" s="449"/>
      <c r="R24" s="449"/>
      <c r="S24" s="449"/>
      <c r="T24" s="449"/>
      <c r="U24" s="449"/>
      <c r="V24" s="989">
        <f t="shared" si="18"/>
        <v>0</v>
      </c>
      <c r="W24" s="989">
        <f t="shared" si="19"/>
        <v>0</v>
      </c>
      <c r="X24" s="732">
        <f t="shared" ref="X24" si="24">V24+W24</f>
        <v>0</v>
      </c>
      <c r="Y24" s="989">
        <f t="shared" si="21"/>
        <v>50000</v>
      </c>
      <c r="Z24" s="996">
        <f t="shared" si="22"/>
        <v>50000</v>
      </c>
    </row>
    <row r="25" spans="1:26" ht="15.75" x14ac:dyDescent="0.25">
      <c r="A25" s="876" t="s">
        <v>332</v>
      </c>
      <c r="B25" s="877"/>
      <c r="C25" s="393">
        <f t="shared" ref="C25:Z25" si="25">SUM(C24:C24)</f>
        <v>50000</v>
      </c>
      <c r="D25" s="393">
        <f t="shared" si="25"/>
        <v>0</v>
      </c>
      <c r="E25" s="393">
        <f t="shared" si="25"/>
        <v>0</v>
      </c>
      <c r="F25" s="393">
        <f t="shared" si="25"/>
        <v>50000</v>
      </c>
      <c r="G25" s="393">
        <f t="shared" si="25"/>
        <v>50000</v>
      </c>
      <c r="H25" s="393">
        <f t="shared" si="25"/>
        <v>50000</v>
      </c>
      <c r="I25" s="393">
        <f t="shared" si="25"/>
        <v>50000</v>
      </c>
      <c r="J25" s="393">
        <f t="shared" si="25"/>
        <v>0</v>
      </c>
      <c r="K25" s="393">
        <f t="shared" si="25"/>
        <v>0</v>
      </c>
      <c r="L25" s="393">
        <f t="shared" si="25"/>
        <v>0</v>
      </c>
      <c r="M25" s="393">
        <f t="shared" si="25"/>
        <v>0</v>
      </c>
      <c r="N25" s="393">
        <f t="shared" si="25"/>
        <v>0</v>
      </c>
      <c r="O25" s="393">
        <f t="shared" si="25"/>
        <v>0</v>
      </c>
      <c r="P25" s="393">
        <f t="shared" si="25"/>
        <v>0</v>
      </c>
      <c r="Q25" s="393">
        <f>SUM(P23:P23)</f>
        <v>0</v>
      </c>
      <c r="R25" s="393">
        <f t="shared" si="25"/>
        <v>0</v>
      </c>
      <c r="S25" s="393">
        <f t="shared" si="25"/>
        <v>0</v>
      </c>
      <c r="T25" s="393">
        <f t="shared" si="25"/>
        <v>0</v>
      </c>
      <c r="U25" s="393">
        <f t="shared" si="25"/>
        <v>0</v>
      </c>
      <c r="V25" s="393">
        <f t="shared" si="25"/>
        <v>0</v>
      </c>
      <c r="W25" s="393">
        <f t="shared" si="25"/>
        <v>0</v>
      </c>
      <c r="X25" s="393">
        <f t="shared" si="25"/>
        <v>0</v>
      </c>
      <c r="Y25" s="393">
        <f t="shared" si="25"/>
        <v>50000</v>
      </c>
      <c r="Z25" s="393">
        <f t="shared" si="25"/>
        <v>50000</v>
      </c>
    </row>
    <row r="26" spans="1:26" ht="15.75" x14ac:dyDescent="0.25">
      <c r="A26" s="876" t="s">
        <v>320</v>
      </c>
      <c r="B26" s="877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</row>
    <row r="27" spans="1:26" s="302" customFormat="1" x14ac:dyDescent="0.25">
      <c r="A27" s="884" t="s">
        <v>1116</v>
      </c>
      <c r="B27" s="887"/>
      <c r="C27" s="693">
        <v>80</v>
      </c>
      <c r="D27" s="693"/>
      <c r="E27" s="693">
        <f>-80</f>
        <v>-80</v>
      </c>
      <c r="F27" s="720">
        <f t="shared" ref="F27:F29" si="26">SUM(C27:E27)</f>
        <v>0</v>
      </c>
      <c r="G27" s="693">
        <f>F27</f>
        <v>0</v>
      </c>
      <c r="H27" s="886">
        <f t="shared" ref="H27:H29" si="27">F27</f>
        <v>0</v>
      </c>
      <c r="I27" s="716">
        <f t="shared" ref="I27:I29" si="28">G27+H27</f>
        <v>0</v>
      </c>
      <c r="J27" s="393"/>
      <c r="K27" s="393"/>
      <c r="L27" s="393"/>
      <c r="M27" s="393"/>
      <c r="N27" s="393"/>
      <c r="O27" s="393"/>
      <c r="P27" s="393"/>
      <c r="Q27" s="393"/>
      <c r="R27" s="393"/>
      <c r="S27" s="393"/>
      <c r="T27" s="393"/>
      <c r="U27" s="393"/>
      <c r="V27" s="989">
        <f t="shared" ref="V27:V30" si="29">J27+K27+L27+M27+N27+O27+P27+Q27+R27</f>
        <v>0</v>
      </c>
      <c r="W27" s="989">
        <f t="shared" ref="W27:W30" si="30">S27</f>
        <v>0</v>
      </c>
      <c r="X27" s="732">
        <f>V27+W27</f>
        <v>0</v>
      </c>
      <c r="Y27" s="989">
        <f t="shared" ref="Y27:Y29" si="31">I27-X27</f>
        <v>0</v>
      </c>
      <c r="Z27" s="996">
        <f t="shared" ref="Z27:Z29" si="32">F27-X27</f>
        <v>0</v>
      </c>
    </row>
    <row r="28" spans="1:26" s="302" customFormat="1" x14ac:dyDescent="0.25">
      <c r="A28" s="883" t="s">
        <v>1117</v>
      </c>
      <c r="B28" s="887"/>
      <c r="C28" s="693">
        <v>443</v>
      </c>
      <c r="D28" s="693"/>
      <c r="E28" s="693">
        <f>-443</f>
        <v>-443</v>
      </c>
      <c r="F28" s="720">
        <f t="shared" si="26"/>
        <v>0</v>
      </c>
      <c r="G28" s="693">
        <f t="shared" ref="G28:G29" si="33">F28</f>
        <v>0</v>
      </c>
      <c r="H28" s="886">
        <f t="shared" si="27"/>
        <v>0</v>
      </c>
      <c r="I28" s="716">
        <f t="shared" si="28"/>
        <v>0</v>
      </c>
      <c r="J28" s="393"/>
      <c r="K28" s="393"/>
      <c r="L28" s="393"/>
      <c r="M28" s="393"/>
      <c r="N28" s="393"/>
      <c r="O28" s="393"/>
      <c r="P28" s="393"/>
      <c r="Q28" s="393"/>
      <c r="R28" s="393"/>
      <c r="S28" s="393"/>
      <c r="T28" s="393"/>
      <c r="U28" s="393"/>
      <c r="V28" s="989">
        <f t="shared" si="29"/>
        <v>0</v>
      </c>
      <c r="W28" s="989">
        <f t="shared" si="30"/>
        <v>0</v>
      </c>
      <c r="X28" s="732">
        <f t="shared" ref="X28:X29" si="34">V28+W28</f>
        <v>0</v>
      </c>
      <c r="Y28" s="989">
        <f t="shared" si="31"/>
        <v>0</v>
      </c>
      <c r="Z28" s="996">
        <f t="shared" si="32"/>
        <v>0</v>
      </c>
    </row>
    <row r="29" spans="1:26" s="302" customFormat="1" x14ac:dyDescent="0.25">
      <c r="A29" s="882" t="s">
        <v>905</v>
      </c>
      <c r="B29" s="885" t="s">
        <v>111</v>
      </c>
      <c r="C29" s="693">
        <v>8000</v>
      </c>
      <c r="D29" s="693"/>
      <c r="E29" s="693">
        <f>-8000</f>
        <v>-8000</v>
      </c>
      <c r="F29" s="720">
        <f t="shared" si="26"/>
        <v>0</v>
      </c>
      <c r="G29" s="693">
        <f t="shared" si="33"/>
        <v>0</v>
      </c>
      <c r="H29" s="886">
        <f t="shared" si="27"/>
        <v>0</v>
      </c>
      <c r="I29" s="716">
        <f t="shared" si="28"/>
        <v>0</v>
      </c>
      <c r="J29" s="393"/>
      <c r="K29" s="393"/>
      <c r="L29" s="393"/>
      <c r="M29" s="393"/>
      <c r="N29" s="393"/>
      <c r="O29" s="393"/>
      <c r="P29" s="393"/>
      <c r="Q29" s="393"/>
      <c r="R29" s="393"/>
      <c r="S29" s="393"/>
      <c r="T29" s="393"/>
      <c r="U29" s="393"/>
      <c r="V29" s="989">
        <f t="shared" si="29"/>
        <v>0</v>
      </c>
      <c r="W29" s="989">
        <f t="shared" si="30"/>
        <v>0</v>
      </c>
      <c r="X29" s="732">
        <f t="shared" si="34"/>
        <v>0</v>
      </c>
      <c r="Y29" s="989">
        <f t="shared" si="31"/>
        <v>0</v>
      </c>
      <c r="Z29" s="996">
        <f t="shared" si="32"/>
        <v>0</v>
      </c>
    </row>
    <row r="30" spans="1:26" ht="15.75" x14ac:dyDescent="0.25">
      <c r="A30" s="876" t="s">
        <v>333</v>
      </c>
      <c r="B30" s="877"/>
      <c r="C30" s="393">
        <f>SUM(C27:C29)</f>
        <v>8523</v>
      </c>
      <c r="D30" s="393">
        <f>SUM(D27:D29)</f>
        <v>0</v>
      </c>
      <c r="E30" s="393">
        <f>SUM(E27:E29)</f>
        <v>-8523</v>
      </c>
      <c r="F30" s="393">
        <f t="shared" ref="F30:Z30" si="35">SUM(F27:F29)</f>
        <v>0</v>
      </c>
      <c r="G30" s="393">
        <f t="shared" si="35"/>
        <v>0</v>
      </c>
      <c r="H30" s="393">
        <f t="shared" si="35"/>
        <v>0</v>
      </c>
      <c r="I30" s="393">
        <f t="shared" si="35"/>
        <v>0</v>
      </c>
      <c r="J30" s="393">
        <f t="shared" si="35"/>
        <v>0</v>
      </c>
      <c r="K30" s="393">
        <f t="shared" si="35"/>
        <v>0</v>
      </c>
      <c r="L30" s="393">
        <f t="shared" si="35"/>
        <v>0</v>
      </c>
      <c r="M30" s="393">
        <f t="shared" si="35"/>
        <v>0</v>
      </c>
      <c r="N30" s="393">
        <f t="shared" si="35"/>
        <v>0</v>
      </c>
      <c r="O30" s="393">
        <f t="shared" si="35"/>
        <v>0</v>
      </c>
      <c r="P30" s="393">
        <f t="shared" si="35"/>
        <v>0</v>
      </c>
      <c r="Q30" s="393">
        <f t="shared" si="35"/>
        <v>0</v>
      </c>
      <c r="R30" s="393">
        <f t="shared" si="35"/>
        <v>0</v>
      </c>
      <c r="S30" s="393">
        <f t="shared" si="35"/>
        <v>0</v>
      </c>
      <c r="T30" s="393">
        <f t="shared" si="35"/>
        <v>0</v>
      </c>
      <c r="U30" s="393">
        <f t="shared" si="35"/>
        <v>0</v>
      </c>
      <c r="V30" s="989">
        <f t="shared" si="29"/>
        <v>0</v>
      </c>
      <c r="W30" s="989">
        <f t="shared" si="30"/>
        <v>0</v>
      </c>
      <c r="X30" s="393">
        <f t="shared" si="35"/>
        <v>0</v>
      </c>
      <c r="Y30" s="393">
        <f t="shared" si="35"/>
        <v>0</v>
      </c>
      <c r="Z30" s="393">
        <f t="shared" si="35"/>
        <v>0</v>
      </c>
    </row>
    <row r="31" spans="1:26" ht="15.75" x14ac:dyDescent="0.25">
      <c r="A31" s="876" t="s">
        <v>119</v>
      </c>
      <c r="B31" s="877"/>
      <c r="C31" s="393">
        <f>C25+C30</f>
        <v>58523</v>
      </c>
      <c r="D31" s="393">
        <f>D25+D30</f>
        <v>0</v>
      </c>
      <c r="E31" s="393">
        <f>E25+E30</f>
        <v>-8523</v>
      </c>
      <c r="F31" s="393">
        <f t="shared" ref="F31:Z31" si="36">F25+F30</f>
        <v>50000</v>
      </c>
      <c r="G31" s="393">
        <f t="shared" si="36"/>
        <v>50000</v>
      </c>
      <c r="H31" s="393">
        <f t="shared" si="36"/>
        <v>50000</v>
      </c>
      <c r="I31" s="393">
        <f t="shared" si="36"/>
        <v>50000</v>
      </c>
      <c r="J31" s="393">
        <f t="shared" si="36"/>
        <v>0</v>
      </c>
      <c r="K31" s="393">
        <f t="shared" si="36"/>
        <v>0</v>
      </c>
      <c r="L31" s="393">
        <f t="shared" si="36"/>
        <v>0</v>
      </c>
      <c r="M31" s="393">
        <f t="shared" si="36"/>
        <v>0</v>
      </c>
      <c r="N31" s="393">
        <f t="shared" si="36"/>
        <v>0</v>
      </c>
      <c r="O31" s="393">
        <f t="shared" si="36"/>
        <v>0</v>
      </c>
      <c r="P31" s="393">
        <f t="shared" si="36"/>
        <v>0</v>
      </c>
      <c r="Q31" s="393">
        <f t="shared" si="36"/>
        <v>0</v>
      </c>
      <c r="R31" s="393">
        <f t="shared" si="36"/>
        <v>0</v>
      </c>
      <c r="S31" s="393">
        <f t="shared" si="36"/>
        <v>0</v>
      </c>
      <c r="T31" s="393">
        <f t="shared" si="36"/>
        <v>0</v>
      </c>
      <c r="U31" s="393">
        <f t="shared" si="36"/>
        <v>0</v>
      </c>
      <c r="V31" s="393">
        <f t="shared" si="36"/>
        <v>0</v>
      </c>
      <c r="W31" s="393">
        <f t="shared" si="36"/>
        <v>0</v>
      </c>
      <c r="X31" s="393">
        <f t="shared" si="36"/>
        <v>0</v>
      </c>
      <c r="Y31" s="393">
        <f t="shared" si="36"/>
        <v>50000</v>
      </c>
      <c r="Z31" s="393">
        <f t="shared" si="36"/>
        <v>50000</v>
      </c>
    </row>
    <row r="32" spans="1:26" ht="16.5" thickBot="1" x14ac:dyDescent="0.3">
      <c r="A32" s="628" t="s">
        <v>350</v>
      </c>
      <c r="B32" s="370"/>
      <c r="C32" s="405">
        <f t="shared" ref="C32:Z32" si="37">C31+C20</f>
        <v>540697.4</v>
      </c>
      <c r="D32" s="405">
        <f t="shared" ref="D32" si="38">D31+D20</f>
        <v>5060</v>
      </c>
      <c r="E32" s="405">
        <f t="shared" ref="E32" si="39">E31+E20</f>
        <v>-8523</v>
      </c>
      <c r="F32" s="405">
        <f t="shared" si="37"/>
        <v>537234.4</v>
      </c>
      <c r="G32" s="405">
        <f t="shared" si="37"/>
        <v>415425.8</v>
      </c>
      <c r="H32" s="405">
        <f t="shared" si="37"/>
        <v>90602.866666666669</v>
      </c>
      <c r="I32" s="405">
        <f t="shared" si="37"/>
        <v>456028.66666666669</v>
      </c>
      <c r="J32" s="405">
        <f t="shared" si="37"/>
        <v>17078.189999999999</v>
      </c>
      <c r="K32" s="405">
        <f t="shared" si="37"/>
        <v>26400</v>
      </c>
      <c r="L32" s="405">
        <f t="shared" si="37"/>
        <v>26485.279999999999</v>
      </c>
      <c r="M32" s="405">
        <f t="shared" si="37"/>
        <v>27774.720000000001</v>
      </c>
      <c r="N32" s="405">
        <f t="shared" si="37"/>
        <v>29722.239999999998</v>
      </c>
      <c r="O32" s="405">
        <f t="shared" si="37"/>
        <v>32910.51</v>
      </c>
      <c r="P32" s="405">
        <f t="shared" si="37"/>
        <v>18763.650000000001</v>
      </c>
      <c r="Q32" s="405">
        <f t="shared" si="37"/>
        <v>34724.25</v>
      </c>
      <c r="R32" s="405">
        <f t="shared" si="37"/>
        <v>37016.800000000003</v>
      </c>
      <c r="S32" s="405">
        <f t="shared" si="37"/>
        <v>25800</v>
      </c>
      <c r="T32" s="405">
        <f t="shared" si="37"/>
        <v>0</v>
      </c>
      <c r="U32" s="405">
        <f t="shared" si="37"/>
        <v>0</v>
      </c>
      <c r="V32" s="405">
        <f t="shared" si="37"/>
        <v>250875.64</v>
      </c>
      <c r="W32" s="405">
        <f t="shared" si="37"/>
        <v>25800</v>
      </c>
      <c r="X32" s="405">
        <f t="shared" si="37"/>
        <v>276675.64</v>
      </c>
      <c r="Y32" s="405">
        <f t="shared" si="37"/>
        <v>179353.02666666667</v>
      </c>
      <c r="Z32" s="405">
        <f t="shared" si="37"/>
        <v>260558.75999999998</v>
      </c>
    </row>
    <row r="33" spans="1:25" ht="15.75" thickTop="1" x14ac:dyDescent="0.25"/>
    <row r="34" spans="1:25" x14ac:dyDescent="0.25">
      <c r="A34" s="712" t="s">
        <v>354</v>
      </c>
      <c r="B34" s="30"/>
      <c r="C34" s="35"/>
      <c r="D34" s="35"/>
      <c r="E34" s="35"/>
      <c r="F34" s="35"/>
      <c r="G34" s="35"/>
      <c r="H34" s="35"/>
      <c r="Y34" s="743" t="s">
        <v>357</v>
      </c>
    </row>
    <row r="38" spans="1:25" x14ac:dyDescent="0.25">
      <c r="A38" s="742" t="s">
        <v>355</v>
      </c>
      <c r="B38" s="710"/>
      <c r="C38" s="31"/>
      <c r="D38" s="31"/>
      <c r="E38" s="31"/>
      <c r="F38" s="31"/>
      <c r="G38" s="31"/>
      <c r="H38" s="31"/>
      <c r="Y38" s="744" t="s">
        <v>358</v>
      </c>
    </row>
    <row r="39" spans="1:25" x14ac:dyDescent="0.25">
      <c r="A39" s="743" t="s">
        <v>356</v>
      </c>
      <c r="Y39" s="743" t="s">
        <v>359</v>
      </c>
    </row>
  </sheetData>
  <mergeCells count="3">
    <mergeCell ref="A3:Z3"/>
    <mergeCell ref="A2:Z2"/>
    <mergeCell ref="A1:Z1"/>
  </mergeCells>
  <printOptions horizontalCentered="1"/>
  <pageMargins left="0.95" right="0.2" top="0.75" bottom="0.5" header="0.3" footer="0.3"/>
  <pageSetup paperSize="5" scale="7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zoomScaleNormal="100" workbookViewId="0">
      <pane xSplit="1" ySplit="3" topLeftCell="U4" activePane="bottomRight" state="frozen"/>
      <selection pane="topRight" activeCell="B1" sqref="B1"/>
      <selection pane="bottomLeft" activeCell="A4" sqref="A4"/>
      <selection pane="bottomRight" activeCell="Y13" sqref="Y13"/>
    </sheetView>
  </sheetViews>
  <sheetFormatPr defaultRowHeight="15" outlineLevelCol="1" x14ac:dyDescent="0.25"/>
  <cols>
    <col min="1" max="1" width="43" style="21" customWidth="1"/>
    <col min="2" max="2" width="10.85546875" style="21" customWidth="1"/>
    <col min="3" max="3" width="11.42578125" style="21" customWidth="1"/>
    <col min="4" max="4" width="11.42578125" style="987" customWidth="1"/>
    <col min="5" max="5" width="11.28515625" style="21" customWidth="1"/>
    <col min="6" max="7" width="12" style="21" customWidth="1"/>
    <col min="8" max="8" width="12.7109375" style="21" customWidth="1"/>
    <col min="9" max="16" width="12.7109375" style="21" hidden="1" customWidth="1" outlineLevel="1"/>
    <col min="17" max="17" width="15.28515625" style="21" hidden="1" customWidth="1" outlineLevel="1"/>
    <col min="18" max="20" width="12.7109375" style="21" hidden="1" customWidth="1" outlineLevel="1"/>
    <col min="21" max="21" width="12.7109375" style="21" customWidth="1" collapsed="1"/>
    <col min="22" max="22" width="12.7109375" style="21" customWidth="1"/>
    <col min="23" max="23" width="11.85546875" style="21" customWidth="1"/>
    <col min="24" max="24" width="12.140625" style="21" customWidth="1"/>
    <col min="25" max="25" width="12.7109375" style="21" customWidth="1"/>
    <col min="26" max="16384" width="9.140625" style="21"/>
  </cols>
  <sheetData>
    <row r="1" spans="1:25" x14ac:dyDescent="0.25">
      <c r="A1" s="1432" t="s">
        <v>352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1432"/>
      <c r="M1" s="1432"/>
      <c r="N1" s="1432"/>
      <c r="O1" s="1432"/>
      <c r="P1" s="1432"/>
      <c r="Q1" s="1432"/>
      <c r="R1" s="1432"/>
      <c r="S1" s="1432"/>
      <c r="T1" s="1432"/>
      <c r="U1" s="1432"/>
      <c r="V1" s="1432"/>
      <c r="W1" s="1432"/>
      <c r="X1" s="1432"/>
      <c r="Y1" s="1432"/>
    </row>
    <row r="2" spans="1:25" x14ac:dyDescent="0.25">
      <c r="A2" s="1432" t="s">
        <v>353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1432"/>
      <c r="Y2" s="1432"/>
    </row>
    <row r="3" spans="1:25" x14ac:dyDescent="0.25">
      <c r="A3" s="1434" t="str">
        <f>'1025-CEMETERY'!A3:X3</f>
        <v>For the Period October 1-31, 2021</v>
      </c>
      <c r="B3" s="1434"/>
      <c r="C3" s="1434"/>
      <c r="D3" s="1434"/>
      <c r="E3" s="1434"/>
      <c r="F3" s="1434"/>
      <c r="G3" s="1434"/>
      <c r="H3" s="1434"/>
      <c r="I3" s="1434"/>
      <c r="J3" s="1434"/>
      <c r="K3" s="1434"/>
      <c r="L3" s="1434"/>
      <c r="M3" s="1434"/>
      <c r="N3" s="1434"/>
      <c r="O3" s="1434"/>
      <c r="P3" s="1434"/>
      <c r="Q3" s="1434"/>
      <c r="R3" s="1434"/>
      <c r="S3" s="1434"/>
      <c r="T3" s="1434"/>
      <c r="U3" s="1434"/>
      <c r="V3" s="1434"/>
      <c r="W3" s="1434"/>
      <c r="X3" s="1434"/>
      <c r="Y3" s="1434"/>
    </row>
    <row r="4" spans="1:25" ht="39" x14ac:dyDescent="0.25">
      <c r="A4" s="233" t="s">
        <v>347</v>
      </c>
      <c r="B4" s="71" t="s">
        <v>2</v>
      </c>
      <c r="C4" s="263" t="s">
        <v>133</v>
      </c>
      <c r="D4" s="1073" t="s">
        <v>1204</v>
      </c>
      <c r="E4" s="71" t="s">
        <v>1</v>
      </c>
      <c r="F4" s="71" t="s">
        <v>316</v>
      </c>
      <c r="G4" s="71" t="s">
        <v>314</v>
      </c>
      <c r="H4" s="74" t="s">
        <v>346</v>
      </c>
      <c r="I4" s="19"/>
      <c r="J4" s="19"/>
      <c r="K4" s="19"/>
      <c r="L4" s="19"/>
      <c r="M4" s="24"/>
      <c r="N4" s="24"/>
      <c r="O4" s="24"/>
      <c r="P4" s="24"/>
      <c r="Q4" s="24"/>
      <c r="R4" s="24"/>
      <c r="S4" s="24"/>
      <c r="T4" s="24"/>
      <c r="U4" s="74" t="s">
        <v>316</v>
      </c>
      <c r="V4" s="74" t="s">
        <v>348</v>
      </c>
      <c r="W4" s="74" t="s">
        <v>1</v>
      </c>
      <c r="X4" s="74" t="s">
        <v>131</v>
      </c>
      <c r="Y4" s="74" t="s">
        <v>131</v>
      </c>
    </row>
    <row r="5" spans="1:25" ht="15.75" thickBot="1" x14ac:dyDescent="0.3">
      <c r="A5" s="25"/>
      <c r="B5" s="721" t="s">
        <v>3</v>
      </c>
      <c r="C5" s="25" t="s">
        <v>134</v>
      </c>
      <c r="D5" s="1009" t="s">
        <v>1354</v>
      </c>
      <c r="E5" s="85" t="s">
        <v>314</v>
      </c>
      <c r="F5" s="85" t="s">
        <v>314</v>
      </c>
      <c r="G5" s="85" t="s">
        <v>315</v>
      </c>
      <c r="H5" s="75" t="s">
        <v>315</v>
      </c>
      <c r="I5" s="27" t="s">
        <v>0</v>
      </c>
      <c r="J5" s="27" t="s">
        <v>120</v>
      </c>
      <c r="K5" s="27" t="s">
        <v>121</v>
      </c>
      <c r="L5" s="27" t="s">
        <v>122</v>
      </c>
      <c r="M5" s="27" t="s">
        <v>123</v>
      </c>
      <c r="N5" s="27" t="s">
        <v>124</v>
      </c>
      <c r="O5" s="27" t="s">
        <v>125</v>
      </c>
      <c r="P5" s="27" t="s">
        <v>126</v>
      </c>
      <c r="Q5" s="27" t="s">
        <v>127</v>
      </c>
      <c r="R5" s="27" t="s">
        <v>128</v>
      </c>
      <c r="S5" s="27" t="s">
        <v>129</v>
      </c>
      <c r="T5" s="27" t="s">
        <v>130</v>
      </c>
      <c r="U5" s="75" t="s">
        <v>317</v>
      </c>
      <c r="V5" s="75" t="s">
        <v>315</v>
      </c>
      <c r="W5" s="75" t="s">
        <v>317</v>
      </c>
      <c r="X5" s="75" t="s">
        <v>314</v>
      </c>
      <c r="Y5" s="75" t="s">
        <v>132</v>
      </c>
    </row>
    <row r="6" spans="1:25" ht="15.75" thickTop="1" x14ac:dyDescent="0.25">
      <c r="A6" s="956" t="s">
        <v>1163</v>
      </c>
      <c r="B6" s="957"/>
      <c r="C6" s="626"/>
      <c r="D6" s="626"/>
      <c r="E6" s="626"/>
      <c r="F6" s="626"/>
      <c r="G6" s="626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6"/>
    </row>
    <row r="7" spans="1:25" x14ac:dyDescent="0.25">
      <c r="A7" s="53" t="s">
        <v>138</v>
      </c>
      <c r="B7" s="51"/>
      <c r="C7" s="188"/>
      <c r="D7" s="937"/>
      <c r="E7" s="188"/>
      <c r="F7" s="188"/>
      <c r="G7" s="188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188"/>
    </row>
    <row r="8" spans="1:25" x14ac:dyDescent="0.25">
      <c r="A8" s="61" t="s">
        <v>139</v>
      </c>
      <c r="B8" s="50" t="s">
        <v>43</v>
      </c>
      <c r="C8" s="434">
        <v>10870</v>
      </c>
      <c r="D8" s="434"/>
      <c r="E8" s="52">
        <f>SUM(C8:D8)</f>
        <v>10870</v>
      </c>
      <c r="F8" s="52">
        <f>E8/12*9</f>
        <v>8152.5</v>
      </c>
      <c r="G8" s="52">
        <f t="shared" ref="G8:G15" si="0">E8/12</f>
        <v>905.83333333333337</v>
      </c>
      <c r="H8" s="40">
        <f t="shared" ref="H8:H15" si="1">F8+G8</f>
        <v>9058.3333333333339</v>
      </c>
      <c r="I8" s="40"/>
      <c r="J8" s="40"/>
      <c r="K8" s="40"/>
      <c r="L8" s="40"/>
      <c r="M8" s="40"/>
      <c r="N8" s="40"/>
      <c r="O8" s="1197">
        <v>0</v>
      </c>
      <c r="P8" s="40">
        <v>1392</v>
      </c>
      <c r="Q8" s="40"/>
      <c r="R8" s="40"/>
      <c r="S8" s="40"/>
      <c r="T8" s="40"/>
      <c r="U8" s="40">
        <f>I8+J8+K8+L8+M8+N8+O8+P8+Q8</f>
        <v>1392</v>
      </c>
      <c r="V8" s="40">
        <f>R8</f>
        <v>0</v>
      </c>
      <c r="W8" s="40">
        <f t="shared" ref="W8:W15" si="2">U8+V8</f>
        <v>1392</v>
      </c>
      <c r="X8" s="40">
        <f t="shared" ref="X8:X15" si="3">H8-W8</f>
        <v>7666.3333333333339</v>
      </c>
      <c r="Y8" s="322">
        <f t="shared" ref="Y8:Y15" si="4">E8-W8</f>
        <v>9478</v>
      </c>
    </row>
    <row r="9" spans="1:25" x14ac:dyDescent="0.25">
      <c r="A9" s="61" t="s">
        <v>44</v>
      </c>
      <c r="B9" s="50" t="s">
        <v>140</v>
      </c>
      <c r="C9" s="434">
        <v>5000</v>
      </c>
      <c r="D9" s="434">
        <v>5060</v>
      </c>
      <c r="E9" s="720">
        <f t="shared" ref="E9:E18" si="5">SUM(C9:D9)</f>
        <v>10060</v>
      </c>
      <c r="F9" s="720">
        <f t="shared" ref="F9:F18" si="6">E9/12*9</f>
        <v>7545</v>
      </c>
      <c r="G9" s="52">
        <f t="shared" si="0"/>
        <v>838.33333333333337</v>
      </c>
      <c r="H9" s="40">
        <f t="shared" si="1"/>
        <v>8383.3333333333339</v>
      </c>
      <c r="I9" s="40"/>
      <c r="J9" s="40"/>
      <c r="K9" s="40"/>
      <c r="L9" s="40"/>
      <c r="M9" s="40"/>
      <c r="N9" s="40"/>
      <c r="O9" s="40"/>
      <c r="P9" s="40">
        <v>5000</v>
      </c>
      <c r="Q9" s="40"/>
      <c r="R9" s="40"/>
      <c r="S9" s="40"/>
      <c r="T9" s="40"/>
      <c r="U9" s="989">
        <f t="shared" ref="U9:U18" si="7">I9+J9+K9+L9+M9+N9+O9+P9+Q9</f>
        <v>5000</v>
      </c>
      <c r="V9" s="989">
        <f t="shared" ref="V9:V18" si="8">R9</f>
        <v>0</v>
      </c>
      <c r="W9" s="40">
        <f t="shared" si="2"/>
        <v>5000</v>
      </c>
      <c r="X9" s="40">
        <f t="shared" si="3"/>
        <v>3383.3333333333339</v>
      </c>
      <c r="Y9" s="322">
        <f t="shared" si="4"/>
        <v>5060</v>
      </c>
    </row>
    <row r="10" spans="1:25" x14ac:dyDescent="0.25">
      <c r="A10" s="201" t="s">
        <v>50</v>
      </c>
      <c r="B10" s="87" t="s">
        <v>51</v>
      </c>
      <c r="C10" s="434">
        <v>15000</v>
      </c>
      <c r="D10" s="434"/>
      <c r="E10" s="720">
        <f t="shared" si="5"/>
        <v>15000</v>
      </c>
      <c r="F10" s="720">
        <f t="shared" si="6"/>
        <v>11250</v>
      </c>
      <c r="G10" s="52">
        <f t="shared" si="0"/>
        <v>1250</v>
      </c>
      <c r="H10" s="40">
        <f t="shared" si="1"/>
        <v>12500</v>
      </c>
      <c r="I10" s="40"/>
      <c r="J10" s="40"/>
      <c r="K10" s="40">
        <v>4939</v>
      </c>
      <c r="L10" s="40"/>
      <c r="M10" s="40"/>
      <c r="N10" s="40">
        <v>1796</v>
      </c>
      <c r="O10" s="40"/>
      <c r="P10" s="1250">
        <v>8207</v>
      </c>
      <c r="Q10" s="40">
        <v>58</v>
      </c>
      <c r="R10" s="40"/>
      <c r="S10" s="40"/>
      <c r="T10" s="40"/>
      <c r="U10" s="989">
        <f t="shared" si="7"/>
        <v>15000</v>
      </c>
      <c r="V10" s="989">
        <f t="shared" si="8"/>
        <v>0</v>
      </c>
      <c r="W10" s="40">
        <f t="shared" si="2"/>
        <v>15000</v>
      </c>
      <c r="X10" s="40">
        <f t="shared" si="3"/>
        <v>-2500</v>
      </c>
      <c r="Y10" s="322">
        <f t="shared" si="4"/>
        <v>0</v>
      </c>
    </row>
    <row r="11" spans="1:25" x14ac:dyDescent="0.25">
      <c r="A11" s="61" t="s">
        <v>55</v>
      </c>
      <c r="B11" s="50" t="s">
        <v>56</v>
      </c>
      <c r="C11" s="434">
        <f>40000-10000</f>
        <v>30000</v>
      </c>
      <c r="D11" s="434"/>
      <c r="E11" s="720">
        <f t="shared" si="5"/>
        <v>30000</v>
      </c>
      <c r="F11" s="720">
        <f t="shared" si="6"/>
        <v>22500</v>
      </c>
      <c r="G11" s="52">
        <f t="shared" si="0"/>
        <v>2500</v>
      </c>
      <c r="H11" s="40">
        <f t="shared" si="1"/>
        <v>25000</v>
      </c>
      <c r="I11" s="40"/>
      <c r="J11" s="40"/>
      <c r="K11" s="40">
        <v>1085.25</v>
      </c>
      <c r="L11" s="40">
        <v>1289.1199999999999</v>
      </c>
      <c r="M11" s="40">
        <v>2413.6</v>
      </c>
      <c r="N11" s="40">
        <v>1214.08</v>
      </c>
      <c r="O11" s="40"/>
      <c r="P11" s="40">
        <v>930.72</v>
      </c>
      <c r="Q11" s="40">
        <v>7546.56</v>
      </c>
      <c r="R11" s="40"/>
      <c r="S11" s="40"/>
      <c r="T11" s="40"/>
      <c r="U11" s="989">
        <f t="shared" si="7"/>
        <v>14479.33</v>
      </c>
      <c r="V11" s="989">
        <f t="shared" si="8"/>
        <v>0</v>
      </c>
      <c r="W11" s="40">
        <f t="shared" si="2"/>
        <v>14479.33</v>
      </c>
      <c r="X11" s="40">
        <f t="shared" si="3"/>
        <v>10520.67</v>
      </c>
      <c r="Y11" s="322">
        <f t="shared" si="4"/>
        <v>15520.67</v>
      </c>
    </row>
    <row r="12" spans="1:25" x14ac:dyDescent="0.25">
      <c r="A12" s="61" t="s">
        <v>655</v>
      </c>
      <c r="B12" s="50" t="s">
        <v>267</v>
      </c>
      <c r="C12" s="434">
        <f>40000-20000</f>
        <v>20000</v>
      </c>
      <c r="D12" s="434"/>
      <c r="E12" s="720">
        <f t="shared" si="5"/>
        <v>20000</v>
      </c>
      <c r="F12" s="720">
        <f t="shared" si="6"/>
        <v>15000</v>
      </c>
      <c r="G12" s="52">
        <f t="shared" si="0"/>
        <v>1666.6666666666667</v>
      </c>
      <c r="H12" s="40">
        <f t="shared" si="1"/>
        <v>16666.666666666668</v>
      </c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989">
        <f t="shared" si="7"/>
        <v>0</v>
      </c>
      <c r="V12" s="989">
        <f t="shared" si="8"/>
        <v>0</v>
      </c>
      <c r="W12" s="40">
        <f t="shared" si="2"/>
        <v>0</v>
      </c>
      <c r="X12" s="40">
        <f t="shared" si="3"/>
        <v>16666.666666666668</v>
      </c>
      <c r="Y12" s="322">
        <f t="shared" si="4"/>
        <v>20000</v>
      </c>
    </row>
    <row r="13" spans="1:25" x14ac:dyDescent="0.25">
      <c r="A13" s="61" t="s">
        <v>542</v>
      </c>
      <c r="B13" s="50" t="s">
        <v>150</v>
      </c>
      <c r="C13" s="434">
        <v>16157</v>
      </c>
      <c r="D13" s="434"/>
      <c r="E13" s="720">
        <f t="shared" si="5"/>
        <v>16157</v>
      </c>
      <c r="F13" s="720">
        <f t="shared" si="6"/>
        <v>12117.75</v>
      </c>
      <c r="G13" s="52">
        <f t="shared" si="0"/>
        <v>1346.4166666666667</v>
      </c>
      <c r="H13" s="40">
        <f t="shared" si="1"/>
        <v>13464.166666666666</v>
      </c>
      <c r="I13" s="40"/>
      <c r="J13" s="40"/>
      <c r="K13" s="40"/>
      <c r="L13" s="40"/>
      <c r="M13" s="40">
        <v>1250</v>
      </c>
      <c r="N13" s="40"/>
      <c r="O13" s="40">
        <v>2405</v>
      </c>
      <c r="P13" s="1250">
        <v>1510</v>
      </c>
      <c r="Q13" s="40">
        <v>790</v>
      </c>
      <c r="R13" s="40"/>
      <c r="S13" s="40"/>
      <c r="T13" s="40"/>
      <c r="U13" s="989">
        <f t="shared" si="7"/>
        <v>5955</v>
      </c>
      <c r="V13" s="989">
        <f t="shared" si="8"/>
        <v>0</v>
      </c>
      <c r="W13" s="40">
        <f t="shared" si="2"/>
        <v>5955</v>
      </c>
      <c r="X13" s="40">
        <f t="shared" si="3"/>
        <v>7509.1666666666661</v>
      </c>
      <c r="Y13" s="322">
        <f t="shared" si="4"/>
        <v>10202</v>
      </c>
    </row>
    <row r="14" spans="1:25" x14ac:dyDescent="0.25">
      <c r="A14" s="61" t="s">
        <v>481</v>
      </c>
      <c r="B14" s="50" t="s">
        <v>60</v>
      </c>
      <c r="C14" s="434">
        <v>6000</v>
      </c>
      <c r="D14" s="434"/>
      <c r="E14" s="720">
        <f t="shared" si="5"/>
        <v>6000</v>
      </c>
      <c r="F14" s="720">
        <f t="shared" si="6"/>
        <v>4500</v>
      </c>
      <c r="G14" s="52">
        <f t="shared" si="0"/>
        <v>500</v>
      </c>
      <c r="H14" s="40">
        <f t="shared" si="1"/>
        <v>5000</v>
      </c>
      <c r="I14" s="40">
        <v>500</v>
      </c>
      <c r="J14" s="40">
        <v>500</v>
      </c>
      <c r="K14" s="40">
        <v>500</v>
      </c>
      <c r="L14" s="40">
        <v>500</v>
      </c>
      <c r="M14" s="40">
        <v>500</v>
      </c>
      <c r="N14" s="40">
        <v>500</v>
      </c>
      <c r="O14" s="40">
        <v>500</v>
      </c>
      <c r="P14" s="40">
        <v>500</v>
      </c>
      <c r="Q14" s="40">
        <v>500</v>
      </c>
      <c r="R14" s="40">
        <v>500</v>
      </c>
      <c r="S14" s="40"/>
      <c r="T14" s="40"/>
      <c r="U14" s="989">
        <f t="shared" si="7"/>
        <v>4500</v>
      </c>
      <c r="V14" s="989">
        <f t="shared" si="8"/>
        <v>500</v>
      </c>
      <c r="W14" s="40">
        <f t="shared" si="2"/>
        <v>5000</v>
      </c>
      <c r="X14" s="40">
        <f t="shared" si="3"/>
        <v>0</v>
      </c>
      <c r="Y14" s="322">
        <f t="shared" si="4"/>
        <v>1000</v>
      </c>
    </row>
    <row r="15" spans="1:25" x14ac:dyDescent="0.25">
      <c r="A15" s="61" t="s">
        <v>226</v>
      </c>
      <c r="B15" s="50" t="s">
        <v>225</v>
      </c>
      <c r="C15" s="434">
        <f>261000+39000+21600</f>
        <v>321600</v>
      </c>
      <c r="D15" s="434"/>
      <c r="E15" s="720">
        <f t="shared" si="5"/>
        <v>321600</v>
      </c>
      <c r="F15" s="720">
        <f t="shared" si="6"/>
        <v>241200</v>
      </c>
      <c r="G15" s="52">
        <f t="shared" si="0"/>
        <v>26800</v>
      </c>
      <c r="H15" s="40">
        <f t="shared" si="1"/>
        <v>268000</v>
      </c>
      <c r="I15" s="40">
        <v>12600</v>
      </c>
      <c r="J15" s="40">
        <v>25500</v>
      </c>
      <c r="K15" s="40">
        <v>26400</v>
      </c>
      <c r="L15" s="40">
        <v>23100</v>
      </c>
      <c r="M15" s="40">
        <v>19800</v>
      </c>
      <c r="N15" s="40">
        <v>22500</v>
      </c>
      <c r="O15" s="40">
        <f>13200+6000</f>
        <v>19200</v>
      </c>
      <c r="P15" s="40">
        <f>13200+13200</f>
        <v>26400</v>
      </c>
      <c r="Q15" s="40">
        <v>26400</v>
      </c>
      <c r="R15" s="40">
        <v>26400</v>
      </c>
      <c r="S15" s="40"/>
      <c r="T15" s="40"/>
      <c r="U15" s="989">
        <f t="shared" si="7"/>
        <v>201900</v>
      </c>
      <c r="V15" s="989">
        <f t="shared" si="8"/>
        <v>26400</v>
      </c>
      <c r="W15" s="40">
        <f t="shared" si="2"/>
        <v>228300</v>
      </c>
      <c r="X15" s="40">
        <f t="shared" si="3"/>
        <v>39700</v>
      </c>
      <c r="Y15" s="322">
        <f t="shared" si="4"/>
        <v>93300</v>
      </c>
    </row>
    <row r="16" spans="1:25" x14ac:dyDescent="0.25">
      <c r="A16" s="61" t="s">
        <v>656</v>
      </c>
      <c r="B16" s="50" t="s">
        <v>158</v>
      </c>
      <c r="C16" s="434"/>
      <c r="D16" s="434"/>
      <c r="E16" s="720">
        <f t="shared" si="5"/>
        <v>0</v>
      </c>
      <c r="F16" s="720">
        <f t="shared" si="6"/>
        <v>0</v>
      </c>
      <c r="G16" s="52">
        <f t="shared" ref="G16:G18" si="9">E16/12</f>
        <v>0</v>
      </c>
      <c r="H16" s="40">
        <f t="shared" ref="H16:H18" si="10">F16+G16</f>
        <v>0</v>
      </c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989">
        <f t="shared" si="7"/>
        <v>0</v>
      </c>
      <c r="V16" s="989">
        <f t="shared" si="8"/>
        <v>0</v>
      </c>
      <c r="W16" s="40">
        <f t="shared" ref="W16:W18" si="11">U16+V16</f>
        <v>0</v>
      </c>
      <c r="X16" s="40">
        <f t="shared" ref="X16:X18" si="12">H16-W16</f>
        <v>0</v>
      </c>
      <c r="Y16" s="322">
        <f t="shared" ref="Y16:Y18" si="13">E16-W16</f>
        <v>0</v>
      </c>
    </row>
    <row r="17" spans="1:25" x14ac:dyDescent="0.25">
      <c r="A17" s="450" t="s">
        <v>657</v>
      </c>
      <c r="B17" s="50"/>
      <c r="C17" s="434">
        <f>40000-9000</f>
        <v>31000</v>
      </c>
      <c r="D17" s="434"/>
      <c r="E17" s="720">
        <f t="shared" si="5"/>
        <v>31000</v>
      </c>
      <c r="F17" s="720">
        <f t="shared" si="6"/>
        <v>23250</v>
      </c>
      <c r="G17" s="52">
        <f t="shared" si="9"/>
        <v>2583.3333333333335</v>
      </c>
      <c r="H17" s="40">
        <f t="shared" si="10"/>
        <v>25833.333333333332</v>
      </c>
      <c r="I17" s="40"/>
      <c r="J17" s="40"/>
      <c r="K17" s="40"/>
      <c r="L17" s="40">
        <v>30955</v>
      </c>
      <c r="M17" s="40"/>
      <c r="N17" s="40"/>
      <c r="O17" s="40"/>
      <c r="P17" s="40"/>
      <c r="Q17" s="40"/>
      <c r="R17" s="40"/>
      <c r="S17" s="40"/>
      <c r="T17" s="40"/>
      <c r="U17" s="989">
        <f t="shared" si="7"/>
        <v>30955</v>
      </c>
      <c r="V17" s="989">
        <f t="shared" si="8"/>
        <v>0</v>
      </c>
      <c r="W17" s="40">
        <f t="shared" si="11"/>
        <v>30955</v>
      </c>
      <c r="X17" s="40">
        <f t="shared" si="12"/>
        <v>-5121.6666666666679</v>
      </c>
      <c r="Y17" s="322">
        <f t="shared" si="13"/>
        <v>45</v>
      </c>
    </row>
    <row r="18" spans="1:25" x14ac:dyDescent="0.25">
      <c r="A18" s="49"/>
      <c r="B18" s="50"/>
      <c r="C18" s="52"/>
      <c r="D18" s="720"/>
      <c r="E18" s="720">
        <f t="shared" si="5"/>
        <v>0</v>
      </c>
      <c r="F18" s="720">
        <f t="shared" si="6"/>
        <v>0</v>
      </c>
      <c r="G18" s="52">
        <f t="shared" si="9"/>
        <v>0</v>
      </c>
      <c r="H18" s="40">
        <f t="shared" si="10"/>
        <v>0</v>
      </c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989">
        <f t="shared" si="7"/>
        <v>0</v>
      </c>
      <c r="V18" s="989">
        <f t="shared" si="8"/>
        <v>0</v>
      </c>
      <c r="W18" s="40">
        <f t="shared" si="11"/>
        <v>0</v>
      </c>
      <c r="X18" s="40">
        <f t="shared" si="12"/>
        <v>0</v>
      </c>
      <c r="Y18" s="322">
        <f t="shared" si="13"/>
        <v>0</v>
      </c>
    </row>
    <row r="19" spans="1:25" ht="15.75" x14ac:dyDescent="0.25">
      <c r="A19" s="79" t="s">
        <v>108</v>
      </c>
      <c r="B19" s="188"/>
      <c r="C19" s="78">
        <f>SUM(C8:C18)</f>
        <v>455627</v>
      </c>
      <c r="D19" s="726">
        <f>SUM(D8:D18)</f>
        <v>5060</v>
      </c>
      <c r="E19" s="726">
        <f t="shared" ref="E19:Y19" si="14">SUM(E8:E18)</f>
        <v>460687</v>
      </c>
      <c r="F19" s="726">
        <f t="shared" si="14"/>
        <v>345515.25</v>
      </c>
      <c r="G19" s="726">
        <f t="shared" si="14"/>
        <v>38390.583333333336</v>
      </c>
      <c r="H19" s="726">
        <f t="shared" si="14"/>
        <v>383905.83333333331</v>
      </c>
      <c r="I19" s="726">
        <f t="shared" si="14"/>
        <v>13100</v>
      </c>
      <c r="J19" s="726">
        <f t="shared" si="14"/>
        <v>26000</v>
      </c>
      <c r="K19" s="726">
        <f t="shared" si="14"/>
        <v>32924.25</v>
      </c>
      <c r="L19" s="726">
        <f t="shared" si="14"/>
        <v>55844.119999999995</v>
      </c>
      <c r="M19" s="726">
        <f t="shared" si="14"/>
        <v>23963.599999999999</v>
      </c>
      <c r="N19" s="726">
        <f t="shared" si="14"/>
        <v>26010.080000000002</v>
      </c>
      <c r="O19" s="726">
        <f t="shared" si="14"/>
        <v>22105</v>
      </c>
      <c r="P19" s="726">
        <f t="shared" si="14"/>
        <v>43939.72</v>
      </c>
      <c r="Q19" s="726">
        <f t="shared" si="14"/>
        <v>35294.559999999998</v>
      </c>
      <c r="R19" s="726">
        <f t="shared" si="14"/>
        <v>26900</v>
      </c>
      <c r="S19" s="726">
        <f t="shared" si="14"/>
        <v>0</v>
      </c>
      <c r="T19" s="726">
        <f t="shared" si="14"/>
        <v>0</v>
      </c>
      <c r="U19" s="726">
        <f t="shared" si="14"/>
        <v>279181.33</v>
      </c>
      <c r="V19" s="726">
        <f t="shared" si="14"/>
        <v>26900</v>
      </c>
      <c r="W19" s="726">
        <f t="shared" si="14"/>
        <v>306081.33</v>
      </c>
      <c r="X19" s="726">
        <f t="shared" si="14"/>
        <v>77824.503333333341</v>
      </c>
      <c r="Y19" s="726">
        <f t="shared" si="14"/>
        <v>154605.66999999998</v>
      </c>
    </row>
    <row r="20" spans="1:25" ht="16.5" thickBot="1" x14ac:dyDescent="0.3">
      <c r="A20" s="628" t="s">
        <v>160</v>
      </c>
      <c r="B20" s="370"/>
      <c r="C20" s="405">
        <f>SUM(C19)</f>
        <v>455627</v>
      </c>
      <c r="D20" s="405">
        <f>SUM(D19)</f>
        <v>5060</v>
      </c>
      <c r="E20" s="405">
        <f t="shared" ref="E20:Y20" si="15">SUM(E19)</f>
        <v>460687</v>
      </c>
      <c r="F20" s="405">
        <f t="shared" si="15"/>
        <v>345515.25</v>
      </c>
      <c r="G20" s="405">
        <f t="shared" si="15"/>
        <v>38390.583333333336</v>
      </c>
      <c r="H20" s="405">
        <f t="shared" si="15"/>
        <v>383905.83333333331</v>
      </c>
      <c r="I20" s="405">
        <f t="shared" si="15"/>
        <v>13100</v>
      </c>
      <c r="J20" s="405">
        <f t="shared" si="15"/>
        <v>26000</v>
      </c>
      <c r="K20" s="405">
        <f t="shared" si="15"/>
        <v>32924.25</v>
      </c>
      <c r="L20" s="405">
        <f t="shared" si="15"/>
        <v>55844.119999999995</v>
      </c>
      <c r="M20" s="405">
        <f t="shared" si="15"/>
        <v>23963.599999999999</v>
      </c>
      <c r="N20" s="405">
        <f t="shared" si="15"/>
        <v>26010.080000000002</v>
      </c>
      <c r="O20" s="405">
        <f t="shared" si="15"/>
        <v>22105</v>
      </c>
      <c r="P20" s="405">
        <f t="shared" si="15"/>
        <v>43939.72</v>
      </c>
      <c r="Q20" s="405">
        <f t="shared" si="15"/>
        <v>35294.559999999998</v>
      </c>
      <c r="R20" s="405">
        <f t="shared" si="15"/>
        <v>26900</v>
      </c>
      <c r="S20" s="405">
        <f t="shared" si="15"/>
        <v>0</v>
      </c>
      <c r="T20" s="405">
        <f t="shared" si="15"/>
        <v>0</v>
      </c>
      <c r="U20" s="405">
        <f t="shared" si="15"/>
        <v>279181.33</v>
      </c>
      <c r="V20" s="405">
        <f t="shared" si="15"/>
        <v>26900</v>
      </c>
      <c r="W20" s="405">
        <f t="shared" si="15"/>
        <v>306081.33</v>
      </c>
      <c r="X20" s="405">
        <f t="shared" si="15"/>
        <v>77824.503333333341</v>
      </c>
      <c r="Y20" s="405">
        <f t="shared" si="15"/>
        <v>154605.66999999998</v>
      </c>
    </row>
    <row r="21" spans="1:25" ht="15.75" thickTop="1" x14ac:dyDescent="0.25"/>
    <row r="23" spans="1:25" x14ac:dyDescent="0.25">
      <c r="A23" s="21" t="s">
        <v>354</v>
      </c>
      <c r="B23" s="30"/>
      <c r="C23" s="35"/>
      <c r="D23" s="35"/>
      <c r="E23" s="35"/>
      <c r="F23" s="35"/>
      <c r="G23" s="35"/>
      <c r="X23" s="259" t="s">
        <v>357</v>
      </c>
    </row>
    <row r="24" spans="1:25" s="987" customFormat="1" x14ac:dyDescent="0.25">
      <c r="B24" s="30"/>
      <c r="C24" s="35"/>
      <c r="D24" s="35"/>
      <c r="E24" s="35"/>
      <c r="F24" s="35"/>
      <c r="G24" s="35"/>
      <c r="X24" s="743"/>
    </row>
    <row r="25" spans="1:25" s="987" customFormat="1" x14ac:dyDescent="0.25">
      <c r="B25" s="30"/>
      <c r="C25" s="35"/>
      <c r="D25" s="35"/>
      <c r="E25" s="35"/>
      <c r="F25" s="35"/>
      <c r="G25" s="35"/>
      <c r="X25" s="743"/>
    </row>
    <row r="26" spans="1:25" x14ac:dyDescent="0.25">
      <c r="B26" s="32"/>
      <c r="C26" s="36"/>
      <c r="D26" s="36"/>
      <c r="E26" s="36"/>
      <c r="F26" s="36"/>
      <c r="G26" s="36"/>
    </row>
    <row r="27" spans="1:25" x14ac:dyDescent="0.25">
      <c r="A27" s="258" t="s">
        <v>355</v>
      </c>
      <c r="B27" s="14"/>
      <c r="C27" s="31"/>
      <c r="D27" s="31"/>
      <c r="E27" s="31"/>
      <c r="F27" s="31"/>
      <c r="G27" s="31"/>
      <c r="X27" s="260" t="s">
        <v>358</v>
      </c>
    </row>
    <row r="28" spans="1:25" x14ac:dyDescent="0.25">
      <c r="A28" s="259" t="s">
        <v>356</v>
      </c>
      <c r="X28" s="259" t="s">
        <v>359</v>
      </c>
    </row>
  </sheetData>
  <mergeCells count="3">
    <mergeCell ref="A3:Y3"/>
    <mergeCell ref="A2:Y2"/>
    <mergeCell ref="A1:Y1"/>
  </mergeCells>
  <printOptions horizontalCentered="1"/>
  <pageMargins left="0.7" right="0.2" top="0.75" bottom="0.75" header="0.3" footer="0.3"/>
  <pageSetup paperSize="5" scale="85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2"/>
  <sheetViews>
    <sheetView view="pageBreakPreview" topLeftCell="A55" zoomScale="84" zoomScaleNormal="100" zoomScaleSheetLayoutView="84" workbookViewId="0">
      <pane xSplit="1" topLeftCell="I1" activePane="topRight" state="frozen"/>
      <selection pane="topRight" activeCell="AB69" sqref="AB69"/>
    </sheetView>
  </sheetViews>
  <sheetFormatPr defaultRowHeight="15" outlineLevelCol="1" x14ac:dyDescent="0.25"/>
  <cols>
    <col min="1" max="1" width="45.140625" style="21" customWidth="1"/>
    <col min="2" max="2" width="12.7109375" style="21" customWidth="1"/>
    <col min="3" max="3" width="14.5703125" style="21" customWidth="1"/>
    <col min="4" max="6" width="12.28515625" style="987" customWidth="1"/>
    <col min="7" max="7" width="12.42578125" style="987" customWidth="1"/>
    <col min="8" max="10" width="14.5703125" style="21" customWidth="1"/>
    <col min="11" max="11" width="15.42578125" style="21" customWidth="1"/>
    <col min="12" max="23" width="12.7109375" style="303" hidden="1" customWidth="1" outlineLevel="1"/>
    <col min="24" max="24" width="14.5703125" style="303" customWidth="1" collapsed="1"/>
    <col min="25" max="25" width="15.85546875" style="303" customWidth="1"/>
    <col min="26" max="27" width="12.7109375" style="21" customWidth="1"/>
    <col min="28" max="28" width="13.28515625" style="21" customWidth="1"/>
    <col min="29" max="16384" width="9.140625" style="21"/>
  </cols>
  <sheetData>
    <row r="1" spans="1:28" x14ac:dyDescent="0.25">
      <c r="A1" s="1432" t="s">
        <v>352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1432"/>
      <c r="M1" s="1432"/>
      <c r="N1" s="1432"/>
      <c r="O1" s="1432"/>
      <c r="P1" s="1432"/>
      <c r="Q1" s="1432"/>
      <c r="R1" s="1432"/>
      <c r="S1" s="1432"/>
      <c r="T1" s="1432"/>
      <c r="U1" s="1432"/>
      <c r="V1" s="1432"/>
      <c r="W1" s="1432"/>
      <c r="X1" s="1432"/>
      <c r="Y1" s="1432"/>
      <c r="Z1" s="1432"/>
      <c r="AA1" s="1432"/>
      <c r="AB1" s="1432"/>
    </row>
    <row r="2" spans="1:28" x14ac:dyDescent="0.25">
      <c r="A2" s="1432" t="s">
        <v>353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1432"/>
      <c r="Y2" s="1432"/>
      <c r="Z2" s="1432"/>
      <c r="AA2" s="1432"/>
      <c r="AB2" s="1432"/>
    </row>
    <row r="3" spans="1:28" x14ac:dyDescent="0.25">
      <c r="A3" s="1434" t="str">
        <f>'1022BAMBOO'!A3:W3</f>
        <v>For the Period October 1-31, 2021</v>
      </c>
      <c r="B3" s="1434"/>
      <c r="C3" s="1434"/>
      <c r="D3" s="1434"/>
      <c r="E3" s="1434"/>
      <c r="F3" s="1434"/>
      <c r="G3" s="1434"/>
      <c r="H3" s="1434"/>
      <c r="I3" s="1434"/>
      <c r="J3" s="1434"/>
      <c r="K3" s="1434"/>
      <c r="L3" s="1434"/>
      <c r="M3" s="1434"/>
      <c r="N3" s="1434"/>
      <c r="O3" s="1434"/>
      <c r="P3" s="1434"/>
      <c r="Q3" s="1434"/>
      <c r="R3" s="1434"/>
      <c r="S3" s="1434"/>
      <c r="T3" s="1434"/>
      <c r="U3" s="1434"/>
      <c r="V3" s="1434"/>
      <c r="W3" s="1434"/>
      <c r="X3" s="1434"/>
      <c r="Y3" s="1434"/>
      <c r="Z3" s="1434"/>
      <c r="AA3" s="1434"/>
      <c r="AB3" s="1434"/>
    </row>
    <row r="4" spans="1:28" ht="26.25" x14ac:dyDescent="0.25">
      <c r="A4" s="71" t="s">
        <v>347</v>
      </c>
      <c r="B4" s="958" t="s">
        <v>254</v>
      </c>
      <c r="C4" s="958" t="s">
        <v>133</v>
      </c>
      <c r="D4" s="1073" t="s">
        <v>1204</v>
      </c>
      <c r="E4" s="1073" t="s">
        <v>1204</v>
      </c>
      <c r="F4" s="1073" t="s">
        <v>1204</v>
      </c>
      <c r="G4" s="1073" t="s">
        <v>1227</v>
      </c>
      <c r="H4" s="71" t="s">
        <v>1</v>
      </c>
      <c r="I4" s="71" t="s">
        <v>316</v>
      </c>
      <c r="J4" s="71" t="s">
        <v>314</v>
      </c>
      <c r="K4" s="74" t="s">
        <v>346</v>
      </c>
      <c r="L4" s="19"/>
      <c r="M4" s="19"/>
      <c r="N4" s="19"/>
      <c r="O4" s="19"/>
      <c r="P4" s="24"/>
      <c r="Q4" s="24"/>
      <c r="R4" s="24"/>
      <c r="S4" s="24"/>
      <c r="T4" s="24"/>
      <c r="U4" s="24"/>
      <c r="V4" s="24"/>
      <c r="W4" s="24"/>
      <c r="X4" s="74" t="s">
        <v>316</v>
      </c>
      <c r="Y4" s="74" t="s">
        <v>348</v>
      </c>
      <c r="Z4" s="74" t="s">
        <v>1</v>
      </c>
      <c r="AA4" s="74" t="s">
        <v>131</v>
      </c>
      <c r="AB4" s="74" t="s">
        <v>131</v>
      </c>
    </row>
    <row r="5" spans="1:28" ht="15.75" thickBot="1" x14ac:dyDescent="0.3">
      <c r="A5" s="959"/>
      <c r="B5" s="25" t="s">
        <v>3</v>
      </c>
      <c r="C5" s="25" t="s">
        <v>336</v>
      </c>
      <c r="D5" s="1009" t="s">
        <v>1184</v>
      </c>
      <c r="E5" s="1224" t="s">
        <v>1354</v>
      </c>
      <c r="F5" s="1224"/>
      <c r="G5" s="1101">
        <v>44305</v>
      </c>
      <c r="H5" s="729" t="s">
        <v>314</v>
      </c>
      <c r="I5" s="729" t="s">
        <v>314</v>
      </c>
      <c r="J5" s="729" t="s">
        <v>315</v>
      </c>
      <c r="K5" s="723" t="s">
        <v>315</v>
      </c>
      <c r="L5" s="27" t="s">
        <v>0</v>
      </c>
      <c r="M5" s="27" t="s">
        <v>120</v>
      </c>
      <c r="N5" s="27" t="s">
        <v>121</v>
      </c>
      <c r="O5" s="27" t="s">
        <v>122</v>
      </c>
      <c r="P5" s="27" t="s">
        <v>123</v>
      </c>
      <c r="Q5" s="27" t="s">
        <v>124</v>
      </c>
      <c r="R5" s="27" t="s">
        <v>125</v>
      </c>
      <c r="S5" s="27" t="s">
        <v>126</v>
      </c>
      <c r="T5" s="27" t="s">
        <v>127</v>
      </c>
      <c r="U5" s="27" t="s">
        <v>128</v>
      </c>
      <c r="V5" s="27" t="s">
        <v>129</v>
      </c>
      <c r="W5" s="27" t="s">
        <v>130</v>
      </c>
      <c r="X5" s="723" t="s">
        <v>317</v>
      </c>
      <c r="Y5" s="723" t="s">
        <v>315</v>
      </c>
      <c r="Z5" s="723" t="s">
        <v>317</v>
      </c>
      <c r="AA5" s="723" t="s">
        <v>314</v>
      </c>
      <c r="AB5" s="723" t="s">
        <v>132</v>
      </c>
    </row>
    <row r="6" spans="1:28" ht="15.75" thickTop="1" x14ac:dyDescent="0.25">
      <c r="A6" s="642" t="s">
        <v>1180</v>
      </c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367"/>
      <c r="AA6" s="367"/>
      <c r="AB6" s="367"/>
    </row>
    <row r="7" spans="1:28" x14ac:dyDescent="0.25">
      <c r="A7" s="53" t="s">
        <v>658</v>
      </c>
      <c r="B7" s="94"/>
      <c r="C7" s="188"/>
      <c r="D7" s="937"/>
      <c r="E7" s="937"/>
      <c r="F7" s="937"/>
      <c r="G7" s="937"/>
      <c r="H7" s="188"/>
      <c r="I7" s="188"/>
      <c r="J7" s="188"/>
      <c r="K7" s="188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716"/>
      <c r="AA7" s="40"/>
      <c r="AB7" s="188"/>
    </row>
    <row r="8" spans="1:28" x14ac:dyDescent="0.25">
      <c r="A8" s="791" t="s">
        <v>659</v>
      </c>
      <c r="B8" s="87" t="s">
        <v>6</v>
      </c>
      <c r="C8" s="52">
        <v>1719780</v>
      </c>
      <c r="D8" s="720"/>
      <c r="E8" s="720"/>
      <c r="F8" s="720"/>
      <c r="G8" s="720"/>
      <c r="H8" s="52">
        <f>SUM(C8:G8)</f>
        <v>1719780</v>
      </c>
      <c r="I8" s="52">
        <f>H8/12*9</f>
        <v>1289835</v>
      </c>
      <c r="J8" s="52">
        <f t="shared" ref="J8" si="0">H8/12</f>
        <v>143315</v>
      </c>
      <c r="K8" s="40">
        <f>I8+J8</f>
        <v>1433150</v>
      </c>
      <c r="L8" s="265">
        <v>138104</v>
      </c>
      <c r="M8" s="997">
        <v>138104</v>
      </c>
      <c r="N8" s="265">
        <v>138104</v>
      </c>
      <c r="O8" s="265">
        <v>158948</v>
      </c>
      <c r="P8" s="265">
        <v>143315</v>
      </c>
      <c r="Q8" s="997">
        <v>143315</v>
      </c>
      <c r="R8" s="265">
        <v>143315</v>
      </c>
      <c r="S8" s="997">
        <v>143315</v>
      </c>
      <c r="T8" s="265">
        <v>143315</v>
      </c>
      <c r="U8" s="997">
        <v>143315</v>
      </c>
      <c r="V8" s="265"/>
      <c r="W8" s="265"/>
      <c r="X8" s="265">
        <f>L8+M8+N8+O8+P8+Q8+R8+S8+T8</f>
        <v>1289835</v>
      </c>
      <c r="Y8" s="265">
        <f>U8</f>
        <v>143315</v>
      </c>
      <c r="Z8" s="716">
        <f>X8+Y8</f>
        <v>1433150</v>
      </c>
      <c r="AA8" s="40">
        <f>K8-Z8</f>
        <v>0</v>
      </c>
      <c r="AB8" s="322">
        <f>H8-Z8</f>
        <v>286630</v>
      </c>
    </row>
    <row r="9" spans="1:28" hidden="1" x14ac:dyDescent="0.25">
      <c r="A9" s="363" t="s">
        <v>660</v>
      </c>
      <c r="B9" s="87"/>
      <c r="C9" s="52"/>
      <c r="D9" s="720"/>
      <c r="E9" s="720"/>
      <c r="F9" s="720"/>
      <c r="G9" s="720"/>
      <c r="H9" s="720">
        <f t="shared" ref="H9:H29" si="1">SUM(C9:G9)</f>
        <v>0</v>
      </c>
      <c r="I9" s="720">
        <f t="shared" ref="I9:I29" si="2">H9/12*9</f>
        <v>0</v>
      </c>
      <c r="J9" s="52"/>
      <c r="K9" s="40">
        <f>SUM(B9:J9)</f>
        <v>0</v>
      </c>
      <c r="L9" s="265"/>
      <c r="M9" s="997"/>
      <c r="N9" s="265"/>
      <c r="O9" s="265"/>
      <c r="P9" s="265"/>
      <c r="Q9" s="997"/>
      <c r="R9" s="265"/>
      <c r="S9" s="997"/>
      <c r="T9" s="265"/>
      <c r="U9" s="265"/>
      <c r="V9" s="265"/>
      <c r="W9" s="265"/>
      <c r="X9" s="997">
        <f t="shared" ref="X9" si="3">L9+M9+N9+O9+P9+Q9+R9+S9</f>
        <v>0</v>
      </c>
      <c r="Y9" s="997">
        <f t="shared" ref="Y9" si="4">T9</f>
        <v>0</v>
      </c>
      <c r="Z9" s="716">
        <f t="shared" ref="Z9:Z29" si="5">X9+Y9</f>
        <v>0</v>
      </c>
      <c r="AA9" s="989">
        <f t="shared" ref="AA9:AA29" si="6">K9-Z9</f>
        <v>0</v>
      </c>
      <c r="AB9" s="996">
        <f t="shared" ref="AB9:AB29" si="7">H9-Z9</f>
        <v>0</v>
      </c>
    </row>
    <row r="10" spans="1:28" x14ac:dyDescent="0.25">
      <c r="A10" s="315" t="s">
        <v>661</v>
      </c>
      <c r="B10" s="169"/>
      <c r="C10" s="52"/>
      <c r="D10" s="720"/>
      <c r="E10" s="720"/>
      <c r="F10" s="720"/>
      <c r="G10" s="720"/>
      <c r="H10" s="720">
        <f t="shared" si="1"/>
        <v>0</v>
      </c>
      <c r="I10" s="720">
        <f t="shared" si="2"/>
        <v>0</v>
      </c>
      <c r="J10" s="52"/>
      <c r="K10" s="40"/>
      <c r="L10" s="265"/>
      <c r="M10" s="997"/>
      <c r="N10" s="265"/>
      <c r="O10" s="265"/>
      <c r="P10" s="265"/>
      <c r="Q10" s="997"/>
      <c r="R10" s="265"/>
      <c r="S10" s="997"/>
      <c r="T10" s="265"/>
      <c r="U10" s="265"/>
      <c r="V10" s="265"/>
      <c r="W10" s="265"/>
      <c r="X10" s="997">
        <f t="shared" ref="X10:X29" si="8">L10+M10+N10+O10+P10+Q10+R10+S10+T10</f>
        <v>0</v>
      </c>
      <c r="Y10" s="997">
        <f t="shared" ref="Y10:Y29" si="9">U10</f>
        <v>0</v>
      </c>
      <c r="Z10" s="716">
        <f t="shared" si="5"/>
        <v>0</v>
      </c>
      <c r="AA10" s="989">
        <f t="shared" si="6"/>
        <v>0</v>
      </c>
      <c r="AB10" s="996">
        <f t="shared" si="7"/>
        <v>0</v>
      </c>
    </row>
    <row r="11" spans="1:28" x14ac:dyDescent="0.25">
      <c r="A11" s="200" t="s">
        <v>662</v>
      </c>
      <c r="B11" s="169" t="s">
        <v>11</v>
      </c>
      <c r="C11" s="52">
        <v>96000</v>
      </c>
      <c r="D11" s="720"/>
      <c r="E11" s="720"/>
      <c r="F11" s="720"/>
      <c r="G11" s="720"/>
      <c r="H11" s="720">
        <f t="shared" si="1"/>
        <v>96000</v>
      </c>
      <c r="I11" s="720">
        <f t="shared" si="2"/>
        <v>72000</v>
      </c>
      <c r="J11" s="52">
        <f t="shared" ref="J11:J24" si="10">H11/12</f>
        <v>8000</v>
      </c>
      <c r="K11" s="40">
        <f t="shared" ref="K11:K24" si="11">I11+J11</f>
        <v>80000</v>
      </c>
      <c r="L11" s="265">
        <v>8000</v>
      </c>
      <c r="M11" s="997">
        <v>8000</v>
      </c>
      <c r="N11" s="265">
        <v>8000</v>
      </c>
      <c r="O11" s="265">
        <v>8000</v>
      </c>
      <c r="P11" s="265">
        <v>8000</v>
      </c>
      <c r="Q11" s="997">
        <v>8000</v>
      </c>
      <c r="R11" s="265">
        <v>8000</v>
      </c>
      <c r="S11" s="997">
        <v>8000</v>
      </c>
      <c r="T11" s="265">
        <v>8000</v>
      </c>
      <c r="U11" s="997">
        <v>8000</v>
      </c>
      <c r="V11" s="265"/>
      <c r="W11" s="265"/>
      <c r="X11" s="997">
        <f t="shared" si="8"/>
        <v>72000</v>
      </c>
      <c r="Y11" s="997">
        <f t="shared" si="9"/>
        <v>8000</v>
      </c>
      <c r="Z11" s="716">
        <f t="shared" si="5"/>
        <v>80000</v>
      </c>
      <c r="AA11" s="989">
        <f t="shared" si="6"/>
        <v>0</v>
      </c>
      <c r="AB11" s="996">
        <f t="shared" si="7"/>
        <v>16000</v>
      </c>
    </row>
    <row r="12" spans="1:28" x14ac:dyDescent="0.25">
      <c r="A12" s="200" t="s">
        <v>663</v>
      </c>
      <c r="B12" s="87" t="s">
        <v>13</v>
      </c>
      <c r="C12" s="52">
        <v>72000</v>
      </c>
      <c r="D12" s="720"/>
      <c r="E12" s="720"/>
      <c r="F12" s="720"/>
      <c r="G12" s="720"/>
      <c r="H12" s="720">
        <f t="shared" si="1"/>
        <v>72000</v>
      </c>
      <c r="I12" s="720">
        <f t="shared" si="2"/>
        <v>54000</v>
      </c>
      <c r="J12" s="52">
        <f t="shared" si="10"/>
        <v>6000</v>
      </c>
      <c r="K12" s="40">
        <f t="shared" si="11"/>
        <v>60000</v>
      </c>
      <c r="L12" s="265">
        <v>6000</v>
      </c>
      <c r="M12" s="997">
        <v>6000</v>
      </c>
      <c r="N12" s="265">
        <v>6000</v>
      </c>
      <c r="O12" s="265">
        <v>6000</v>
      </c>
      <c r="P12" s="265">
        <v>6000</v>
      </c>
      <c r="Q12" s="997">
        <v>6000</v>
      </c>
      <c r="R12" s="265">
        <v>6000</v>
      </c>
      <c r="S12" s="997">
        <v>6000</v>
      </c>
      <c r="T12" s="265">
        <v>6000</v>
      </c>
      <c r="U12" s="997">
        <v>6000</v>
      </c>
      <c r="V12" s="265"/>
      <c r="W12" s="265"/>
      <c r="X12" s="997">
        <f t="shared" si="8"/>
        <v>54000</v>
      </c>
      <c r="Y12" s="997">
        <f t="shared" si="9"/>
        <v>6000</v>
      </c>
      <c r="Z12" s="716">
        <f>X12+Y12</f>
        <v>60000</v>
      </c>
      <c r="AA12" s="989">
        <f t="shared" si="6"/>
        <v>0</v>
      </c>
      <c r="AB12" s="996">
        <f t="shared" si="7"/>
        <v>12000</v>
      </c>
    </row>
    <row r="13" spans="1:28" x14ac:dyDescent="0.25">
      <c r="A13" s="200" t="s">
        <v>664</v>
      </c>
      <c r="B13" s="186" t="s">
        <v>15</v>
      </c>
      <c r="C13" s="52">
        <v>72000</v>
      </c>
      <c r="D13" s="720"/>
      <c r="E13" s="720"/>
      <c r="F13" s="720"/>
      <c r="G13" s="720"/>
      <c r="H13" s="720">
        <f t="shared" si="1"/>
        <v>72000</v>
      </c>
      <c r="I13" s="720">
        <f t="shared" si="2"/>
        <v>54000</v>
      </c>
      <c r="J13" s="52">
        <f t="shared" si="10"/>
        <v>6000</v>
      </c>
      <c r="K13" s="40">
        <f t="shared" si="11"/>
        <v>60000</v>
      </c>
      <c r="L13" s="265">
        <v>6000</v>
      </c>
      <c r="M13" s="997">
        <v>6000</v>
      </c>
      <c r="N13" s="265">
        <v>6000</v>
      </c>
      <c r="O13" s="265">
        <v>6000</v>
      </c>
      <c r="P13" s="265">
        <v>6000</v>
      </c>
      <c r="Q13" s="997">
        <v>6000</v>
      </c>
      <c r="R13" s="265">
        <v>6000</v>
      </c>
      <c r="S13" s="997">
        <v>6000</v>
      </c>
      <c r="T13" s="265">
        <v>6000</v>
      </c>
      <c r="U13" s="997">
        <v>6000</v>
      </c>
      <c r="V13" s="265"/>
      <c r="W13" s="265"/>
      <c r="X13" s="997">
        <f t="shared" si="8"/>
        <v>54000</v>
      </c>
      <c r="Y13" s="997">
        <f t="shared" si="9"/>
        <v>6000</v>
      </c>
      <c r="Z13" s="716">
        <f t="shared" si="5"/>
        <v>60000</v>
      </c>
      <c r="AA13" s="989">
        <f t="shared" si="6"/>
        <v>0</v>
      </c>
      <c r="AB13" s="996">
        <f t="shared" si="7"/>
        <v>12000</v>
      </c>
    </row>
    <row r="14" spans="1:28" x14ac:dyDescent="0.25">
      <c r="A14" s="200" t="s">
        <v>665</v>
      </c>
      <c r="B14" s="169" t="s">
        <v>17</v>
      </c>
      <c r="C14" s="52">
        <v>24000</v>
      </c>
      <c r="D14" s="720"/>
      <c r="E14" s="720"/>
      <c r="F14" s="720"/>
      <c r="G14" s="720"/>
      <c r="H14" s="720">
        <f t="shared" si="1"/>
        <v>24000</v>
      </c>
      <c r="I14" s="720">
        <f>H14/12*11</f>
        <v>22000</v>
      </c>
      <c r="J14" s="52">
        <f t="shared" si="10"/>
        <v>2000</v>
      </c>
      <c r="K14" s="40">
        <f t="shared" si="11"/>
        <v>24000</v>
      </c>
      <c r="L14" s="265">
        <v>16000</v>
      </c>
      <c r="M14" s="265"/>
      <c r="N14" s="265"/>
      <c r="O14" s="265"/>
      <c r="P14" s="265"/>
      <c r="Q14" s="265"/>
      <c r="R14" s="265"/>
      <c r="S14" s="997"/>
      <c r="T14" s="265"/>
      <c r="U14" s="1280">
        <v>3300</v>
      </c>
      <c r="V14" s="265"/>
      <c r="W14" s="265"/>
      <c r="X14" s="997">
        <f t="shared" si="8"/>
        <v>16000</v>
      </c>
      <c r="Y14" s="997">
        <f t="shared" si="9"/>
        <v>3300</v>
      </c>
      <c r="Z14" s="716">
        <f t="shared" si="5"/>
        <v>19300</v>
      </c>
      <c r="AA14" s="989">
        <f t="shared" si="6"/>
        <v>4700</v>
      </c>
      <c r="AB14" s="996">
        <f t="shared" si="7"/>
        <v>4700</v>
      </c>
    </row>
    <row r="15" spans="1:28" x14ac:dyDescent="0.25">
      <c r="A15" s="200" t="s">
        <v>666</v>
      </c>
      <c r="B15" s="169" t="s">
        <v>21</v>
      </c>
      <c r="C15" s="52"/>
      <c r="D15" s="720"/>
      <c r="E15" s="720"/>
      <c r="F15" s="720"/>
      <c r="G15" s="720"/>
      <c r="H15" s="720">
        <f t="shared" si="1"/>
        <v>0</v>
      </c>
      <c r="I15" s="720">
        <f t="shared" si="2"/>
        <v>0</v>
      </c>
      <c r="J15" s="52">
        <f t="shared" si="10"/>
        <v>0</v>
      </c>
      <c r="K15" s="40">
        <f t="shared" si="11"/>
        <v>0</v>
      </c>
      <c r="L15" s="265"/>
      <c r="M15" s="265"/>
      <c r="N15" s="265"/>
      <c r="O15" s="265"/>
      <c r="P15" s="265"/>
      <c r="Q15" s="265"/>
      <c r="R15" s="265"/>
      <c r="S15" s="997"/>
      <c r="T15" s="265"/>
      <c r="U15" s="265"/>
      <c r="V15" s="265"/>
      <c r="W15" s="265"/>
      <c r="X15" s="997">
        <f t="shared" si="8"/>
        <v>0</v>
      </c>
      <c r="Y15" s="997">
        <f t="shared" si="9"/>
        <v>0</v>
      </c>
      <c r="Z15" s="716">
        <f t="shared" si="5"/>
        <v>0</v>
      </c>
      <c r="AA15" s="989">
        <f t="shared" si="6"/>
        <v>0</v>
      </c>
      <c r="AB15" s="996">
        <f t="shared" si="7"/>
        <v>0</v>
      </c>
    </row>
    <row r="16" spans="1:28" x14ac:dyDescent="0.25">
      <c r="A16" s="200" t="s">
        <v>667</v>
      </c>
      <c r="B16" s="87" t="s">
        <v>23</v>
      </c>
      <c r="C16" s="52">
        <v>143315</v>
      </c>
      <c r="D16" s="720"/>
      <c r="E16" s="720"/>
      <c r="F16" s="720"/>
      <c r="G16" s="720"/>
      <c r="H16" s="720">
        <f t="shared" si="1"/>
        <v>143315</v>
      </c>
      <c r="I16" s="720">
        <f t="shared" si="2"/>
        <v>107486.25</v>
      </c>
      <c r="J16" s="52">
        <f t="shared" si="10"/>
        <v>11942.916666666666</v>
      </c>
      <c r="K16" s="40">
        <f t="shared" si="11"/>
        <v>119429.16666666667</v>
      </c>
      <c r="L16" s="265"/>
      <c r="M16" s="265"/>
      <c r="N16" s="265"/>
      <c r="O16" s="265"/>
      <c r="P16" s="265"/>
      <c r="Q16" s="265"/>
      <c r="R16" s="265"/>
      <c r="S16" s="997"/>
      <c r="T16" s="265"/>
      <c r="U16" s="265"/>
      <c r="V16" s="265"/>
      <c r="W16" s="265"/>
      <c r="X16" s="997">
        <f t="shared" si="8"/>
        <v>0</v>
      </c>
      <c r="Y16" s="997">
        <f t="shared" si="9"/>
        <v>0</v>
      </c>
      <c r="Z16" s="716">
        <f t="shared" si="5"/>
        <v>0</v>
      </c>
      <c r="AA16" s="989">
        <f t="shared" si="6"/>
        <v>119429.16666666667</v>
      </c>
      <c r="AB16" s="996">
        <f t="shared" si="7"/>
        <v>143315</v>
      </c>
    </row>
    <row r="17" spans="1:28" x14ac:dyDescent="0.25">
      <c r="A17" s="200" t="s">
        <v>668</v>
      </c>
      <c r="B17" s="87" t="s">
        <v>26</v>
      </c>
      <c r="C17" s="52">
        <v>20000</v>
      </c>
      <c r="D17" s="720"/>
      <c r="E17" s="720"/>
      <c r="F17" s="720"/>
      <c r="G17" s="720"/>
      <c r="H17" s="720">
        <f t="shared" si="1"/>
        <v>20000</v>
      </c>
      <c r="I17" s="720">
        <f t="shared" si="2"/>
        <v>15000</v>
      </c>
      <c r="J17" s="52">
        <f t="shared" si="10"/>
        <v>1666.6666666666667</v>
      </c>
      <c r="K17" s="40">
        <f t="shared" si="11"/>
        <v>16666.666666666668</v>
      </c>
      <c r="L17" s="265"/>
      <c r="M17" s="265"/>
      <c r="N17" s="265"/>
      <c r="O17" s="265"/>
      <c r="P17" s="265"/>
      <c r="Q17" s="265"/>
      <c r="R17" s="265"/>
      <c r="S17" s="997"/>
      <c r="T17" s="265"/>
      <c r="U17" s="265"/>
      <c r="V17" s="265"/>
      <c r="W17" s="265"/>
      <c r="X17" s="997">
        <f t="shared" si="8"/>
        <v>0</v>
      </c>
      <c r="Y17" s="997">
        <f t="shared" si="9"/>
        <v>0</v>
      </c>
      <c r="Z17" s="716">
        <f t="shared" si="5"/>
        <v>0</v>
      </c>
      <c r="AA17" s="989">
        <f t="shared" si="6"/>
        <v>16666.666666666668</v>
      </c>
      <c r="AB17" s="996">
        <f t="shared" si="7"/>
        <v>20000</v>
      </c>
    </row>
    <row r="18" spans="1:28" x14ac:dyDescent="0.25">
      <c r="A18" s="455" t="s">
        <v>669</v>
      </c>
      <c r="B18" s="87" t="s">
        <v>27</v>
      </c>
      <c r="C18" s="52"/>
      <c r="D18" s="720"/>
      <c r="E18" s="720"/>
      <c r="F18" s="720"/>
      <c r="G18" s="720"/>
      <c r="H18" s="720">
        <f t="shared" si="1"/>
        <v>0</v>
      </c>
      <c r="I18" s="720">
        <f t="shared" si="2"/>
        <v>0</v>
      </c>
      <c r="J18" s="52">
        <f t="shared" si="10"/>
        <v>0</v>
      </c>
      <c r="K18" s="40">
        <f t="shared" si="11"/>
        <v>0</v>
      </c>
      <c r="L18" s="265"/>
      <c r="M18" s="265"/>
      <c r="N18" s="265"/>
      <c r="O18" s="265"/>
      <c r="P18" s="265"/>
      <c r="Q18" s="265"/>
      <c r="R18" s="265"/>
      <c r="S18" s="997"/>
      <c r="T18" s="265"/>
      <c r="U18" s="265"/>
      <c r="V18" s="265"/>
      <c r="W18" s="265"/>
      <c r="X18" s="997">
        <f t="shared" si="8"/>
        <v>0</v>
      </c>
      <c r="Y18" s="997">
        <f t="shared" si="9"/>
        <v>0</v>
      </c>
      <c r="Z18" s="716">
        <f t="shared" si="5"/>
        <v>0</v>
      </c>
      <c r="AA18" s="989">
        <f t="shared" si="6"/>
        <v>0</v>
      </c>
      <c r="AB18" s="996">
        <f t="shared" si="7"/>
        <v>0</v>
      </c>
    </row>
    <row r="19" spans="1:28" x14ac:dyDescent="0.25">
      <c r="A19" s="291" t="s">
        <v>670</v>
      </c>
      <c r="B19" s="169"/>
      <c r="C19" s="52">
        <v>143315</v>
      </c>
      <c r="D19" s="720"/>
      <c r="E19" s="720"/>
      <c r="F19" s="720"/>
      <c r="G19" s="720"/>
      <c r="H19" s="720">
        <f t="shared" si="1"/>
        <v>143315</v>
      </c>
      <c r="I19" s="720">
        <f t="shared" si="2"/>
        <v>107486.25</v>
      </c>
      <c r="J19" s="52">
        <f t="shared" si="10"/>
        <v>11942.916666666666</v>
      </c>
      <c r="K19" s="40">
        <f t="shared" si="11"/>
        <v>119429.16666666667</v>
      </c>
      <c r="L19" s="265"/>
      <c r="M19" s="265"/>
      <c r="N19" s="265"/>
      <c r="O19" s="265"/>
      <c r="P19" s="1170">
        <v>143315</v>
      </c>
      <c r="Q19" s="1170"/>
      <c r="R19" s="265"/>
      <c r="S19" s="997"/>
      <c r="T19" s="265"/>
      <c r="U19" s="265"/>
      <c r="V19" s="265"/>
      <c r="W19" s="265"/>
      <c r="X19" s="997">
        <f t="shared" si="8"/>
        <v>143315</v>
      </c>
      <c r="Y19" s="997">
        <f t="shared" si="9"/>
        <v>0</v>
      </c>
      <c r="Z19" s="716">
        <f t="shared" si="5"/>
        <v>143315</v>
      </c>
      <c r="AA19" s="989">
        <f t="shared" si="6"/>
        <v>-23885.833333333328</v>
      </c>
      <c r="AB19" s="996">
        <f t="shared" si="7"/>
        <v>0</v>
      </c>
    </row>
    <row r="20" spans="1:28" x14ac:dyDescent="0.25">
      <c r="A20" s="291" t="s">
        <v>671</v>
      </c>
      <c r="B20" s="87"/>
      <c r="C20" s="52">
        <v>20000</v>
      </c>
      <c r="D20" s="720"/>
      <c r="E20" s="720"/>
      <c r="F20" s="720"/>
      <c r="G20" s="720"/>
      <c r="H20" s="720">
        <f t="shared" si="1"/>
        <v>20000</v>
      </c>
      <c r="I20" s="720">
        <f t="shared" si="2"/>
        <v>15000</v>
      </c>
      <c r="J20" s="52">
        <f t="shared" si="10"/>
        <v>1666.6666666666667</v>
      </c>
      <c r="K20" s="40">
        <f t="shared" si="11"/>
        <v>16666.666666666668</v>
      </c>
      <c r="L20" s="265"/>
      <c r="M20" s="265"/>
      <c r="N20" s="265"/>
      <c r="O20" s="265"/>
      <c r="P20" s="265"/>
      <c r="Q20" s="265"/>
      <c r="R20" s="265"/>
      <c r="S20" s="997"/>
      <c r="T20" s="265"/>
      <c r="U20" s="265"/>
      <c r="V20" s="265"/>
      <c r="W20" s="265"/>
      <c r="X20" s="997">
        <f t="shared" si="8"/>
        <v>0</v>
      </c>
      <c r="Y20" s="997">
        <f t="shared" si="9"/>
        <v>0</v>
      </c>
      <c r="Z20" s="716">
        <f t="shared" si="5"/>
        <v>0</v>
      </c>
      <c r="AA20" s="989">
        <f t="shared" si="6"/>
        <v>16666.666666666668</v>
      </c>
      <c r="AB20" s="996">
        <f t="shared" si="7"/>
        <v>20000</v>
      </c>
    </row>
    <row r="21" spans="1:28" x14ac:dyDescent="0.25">
      <c r="A21" s="291" t="s">
        <v>672</v>
      </c>
      <c r="B21" s="87"/>
      <c r="C21" s="52"/>
      <c r="D21" s="720"/>
      <c r="E21" s="720"/>
      <c r="F21" s="720"/>
      <c r="G21" s="720"/>
      <c r="H21" s="720">
        <f t="shared" si="1"/>
        <v>0</v>
      </c>
      <c r="I21" s="720">
        <f t="shared" si="2"/>
        <v>0</v>
      </c>
      <c r="J21" s="52">
        <f t="shared" si="10"/>
        <v>0</v>
      </c>
      <c r="K21" s="40">
        <f t="shared" si="11"/>
        <v>0</v>
      </c>
      <c r="L21" s="265"/>
      <c r="M21" s="265"/>
      <c r="N21" s="265"/>
      <c r="O21" s="265"/>
      <c r="P21" s="265"/>
      <c r="Q21" s="265"/>
      <c r="R21" s="265"/>
      <c r="S21" s="997"/>
      <c r="T21" s="265"/>
      <c r="U21" s="265"/>
      <c r="V21" s="265"/>
      <c r="W21" s="265"/>
      <c r="X21" s="997">
        <f t="shared" si="8"/>
        <v>0</v>
      </c>
      <c r="Y21" s="997">
        <f t="shared" si="9"/>
        <v>0</v>
      </c>
      <c r="Z21" s="716">
        <f t="shared" si="5"/>
        <v>0</v>
      </c>
      <c r="AA21" s="989">
        <f t="shared" si="6"/>
        <v>0</v>
      </c>
      <c r="AB21" s="996">
        <f t="shared" si="7"/>
        <v>0</v>
      </c>
    </row>
    <row r="22" spans="1:28" x14ac:dyDescent="0.25">
      <c r="A22" s="291" t="s">
        <v>673</v>
      </c>
      <c r="B22" s="87"/>
      <c r="C22" s="52"/>
      <c r="D22" s="720"/>
      <c r="E22" s="720"/>
      <c r="F22" s="720"/>
      <c r="G22" s="720"/>
      <c r="H22" s="720">
        <f t="shared" si="1"/>
        <v>0</v>
      </c>
      <c r="I22" s="720">
        <f t="shared" si="2"/>
        <v>0</v>
      </c>
      <c r="J22" s="52">
        <f t="shared" si="10"/>
        <v>0</v>
      </c>
      <c r="K22" s="40">
        <f t="shared" si="11"/>
        <v>0</v>
      </c>
      <c r="L22" s="265"/>
      <c r="M22" s="265"/>
      <c r="N22" s="265"/>
      <c r="O22" s="265"/>
      <c r="P22" s="265"/>
      <c r="Q22" s="265"/>
      <c r="R22" s="265"/>
      <c r="S22" s="997"/>
      <c r="T22" s="265"/>
      <c r="U22" s="265"/>
      <c r="V22" s="265"/>
      <c r="W22" s="265"/>
      <c r="X22" s="997">
        <f t="shared" si="8"/>
        <v>0</v>
      </c>
      <c r="Y22" s="997">
        <f t="shared" si="9"/>
        <v>0</v>
      </c>
      <c r="Z22" s="716">
        <f t="shared" si="5"/>
        <v>0</v>
      </c>
      <c r="AA22" s="989">
        <f t="shared" si="6"/>
        <v>0</v>
      </c>
      <c r="AB22" s="996">
        <f t="shared" si="7"/>
        <v>0</v>
      </c>
    </row>
    <row r="23" spans="1:28" x14ac:dyDescent="0.25">
      <c r="A23" s="291" t="s">
        <v>674</v>
      </c>
      <c r="B23" s="87"/>
      <c r="C23" s="78"/>
      <c r="D23" s="726"/>
      <c r="E23" s="726"/>
      <c r="F23" s="726"/>
      <c r="G23" s="726"/>
      <c r="H23" s="720">
        <f t="shared" si="1"/>
        <v>0</v>
      </c>
      <c r="I23" s="720">
        <f t="shared" si="2"/>
        <v>0</v>
      </c>
      <c r="J23" s="52">
        <f t="shared" si="10"/>
        <v>0</v>
      </c>
      <c r="K23" s="40">
        <f t="shared" si="11"/>
        <v>0</v>
      </c>
      <c r="L23" s="265"/>
      <c r="M23" s="265"/>
      <c r="N23" s="265"/>
      <c r="O23" s="265"/>
      <c r="P23" s="1154"/>
      <c r="Q23" s="265"/>
      <c r="R23" s="265"/>
      <c r="S23" s="997"/>
      <c r="T23" s="265"/>
      <c r="U23" s="265"/>
      <c r="V23" s="265"/>
      <c r="W23" s="265"/>
      <c r="X23" s="997">
        <f t="shared" si="8"/>
        <v>0</v>
      </c>
      <c r="Y23" s="997">
        <f t="shared" si="9"/>
        <v>0</v>
      </c>
      <c r="Z23" s="716">
        <f t="shared" si="5"/>
        <v>0</v>
      </c>
      <c r="AA23" s="989">
        <f t="shared" si="6"/>
        <v>0</v>
      </c>
      <c r="AB23" s="996">
        <f t="shared" si="7"/>
        <v>0</v>
      </c>
    </row>
    <row r="24" spans="1:28" x14ac:dyDescent="0.25">
      <c r="A24" s="455" t="s">
        <v>370</v>
      </c>
      <c r="B24" s="87"/>
      <c r="C24" s="52"/>
      <c r="D24" s="720"/>
      <c r="E24" s="720"/>
      <c r="F24" s="720"/>
      <c r="G24" s="720"/>
      <c r="H24" s="720">
        <f t="shared" si="1"/>
        <v>0</v>
      </c>
      <c r="I24" s="720">
        <f t="shared" si="2"/>
        <v>0</v>
      </c>
      <c r="J24" s="52">
        <f t="shared" si="10"/>
        <v>0</v>
      </c>
      <c r="K24" s="40">
        <f t="shared" si="11"/>
        <v>0</v>
      </c>
      <c r="L24" s="265"/>
      <c r="M24" s="265"/>
      <c r="N24" s="265"/>
      <c r="O24" s="265"/>
      <c r="P24" s="1154"/>
      <c r="Q24" s="265"/>
      <c r="R24" s="265"/>
      <c r="S24" s="997"/>
      <c r="T24" s="265"/>
      <c r="U24" s="265"/>
      <c r="V24" s="265"/>
      <c r="W24" s="265"/>
      <c r="X24" s="997">
        <f t="shared" si="8"/>
        <v>0</v>
      </c>
      <c r="Y24" s="997">
        <f t="shared" si="9"/>
        <v>0</v>
      </c>
      <c r="Z24" s="716">
        <f t="shared" si="5"/>
        <v>0</v>
      </c>
      <c r="AA24" s="989">
        <f t="shared" si="6"/>
        <v>0</v>
      </c>
      <c r="AB24" s="996">
        <f t="shared" si="7"/>
        <v>0</v>
      </c>
    </row>
    <row r="25" spans="1:28" x14ac:dyDescent="0.25">
      <c r="A25" s="200" t="s">
        <v>675</v>
      </c>
      <c r="B25" s="87" t="s">
        <v>29</v>
      </c>
      <c r="C25" s="52">
        <v>206373.6</v>
      </c>
      <c r="D25" s="720"/>
      <c r="E25" s="720"/>
      <c r="F25" s="720"/>
      <c r="G25" s="720"/>
      <c r="H25" s="720">
        <f t="shared" si="1"/>
        <v>206373.6</v>
      </c>
      <c r="I25" s="720">
        <f t="shared" si="2"/>
        <v>154780.19999999998</v>
      </c>
      <c r="J25" s="52">
        <f t="shared" ref="J25:J29" si="12">H25/12</f>
        <v>17197.8</v>
      </c>
      <c r="K25" s="40">
        <f t="shared" ref="K25:K29" si="13">I25+J25</f>
        <v>171977.99999999997</v>
      </c>
      <c r="L25" s="776">
        <v>16572.48</v>
      </c>
      <c r="M25" s="1067">
        <v>16572.48</v>
      </c>
      <c r="N25" s="1080">
        <v>16572.48</v>
      </c>
      <c r="O25" s="265">
        <v>19073.759999999998</v>
      </c>
      <c r="P25" s="1155">
        <v>17197.8</v>
      </c>
      <c r="Q25" s="1170">
        <v>17197.8</v>
      </c>
      <c r="R25" s="1170">
        <v>17197.8</v>
      </c>
      <c r="S25" s="1170">
        <v>17197.8</v>
      </c>
      <c r="T25" s="1257">
        <v>17197.8</v>
      </c>
      <c r="U25" s="1279">
        <v>17197.8</v>
      </c>
      <c r="V25" s="265"/>
      <c r="W25" s="265"/>
      <c r="X25" s="997">
        <f t="shared" si="8"/>
        <v>154780.19999999998</v>
      </c>
      <c r="Y25" s="997">
        <f t="shared" si="9"/>
        <v>17197.8</v>
      </c>
      <c r="Z25" s="716">
        <f t="shared" si="5"/>
        <v>171977.99999999997</v>
      </c>
      <c r="AA25" s="989">
        <f t="shared" si="6"/>
        <v>0</v>
      </c>
      <c r="AB25" s="996">
        <f t="shared" si="7"/>
        <v>34395.600000000035</v>
      </c>
    </row>
    <row r="26" spans="1:28" x14ac:dyDescent="0.25">
      <c r="A26" s="200" t="s">
        <v>676</v>
      </c>
      <c r="B26" s="87" t="s">
        <v>31</v>
      </c>
      <c r="C26" s="52">
        <v>34395.599999999999</v>
      </c>
      <c r="D26" s="720"/>
      <c r="E26" s="720"/>
      <c r="F26" s="720"/>
      <c r="G26" s="720"/>
      <c r="H26" s="720">
        <f t="shared" si="1"/>
        <v>34395.599999999999</v>
      </c>
      <c r="I26" s="720">
        <f t="shared" si="2"/>
        <v>25796.699999999997</v>
      </c>
      <c r="J26" s="52">
        <f t="shared" si="12"/>
        <v>2866.2999999999997</v>
      </c>
      <c r="K26" s="40">
        <f t="shared" si="13"/>
        <v>28662.999999999996</v>
      </c>
      <c r="L26" s="776">
        <v>2762.08</v>
      </c>
      <c r="M26" s="1067">
        <v>2762.08</v>
      </c>
      <c r="N26" s="1080">
        <v>2762.08</v>
      </c>
      <c r="O26" s="265">
        <v>3178.96</v>
      </c>
      <c r="P26" s="1155">
        <v>2866.3</v>
      </c>
      <c r="Q26" s="1170">
        <v>2866.3</v>
      </c>
      <c r="R26" s="1170">
        <v>2866.3</v>
      </c>
      <c r="S26" s="1170">
        <v>2866.3</v>
      </c>
      <c r="T26" s="1257">
        <v>1883.9</v>
      </c>
      <c r="U26" s="1279">
        <v>1883.9</v>
      </c>
      <c r="V26" s="265"/>
      <c r="W26" s="265"/>
      <c r="X26" s="997">
        <f t="shared" si="8"/>
        <v>24814.3</v>
      </c>
      <c r="Y26" s="997">
        <f t="shared" si="9"/>
        <v>1883.9</v>
      </c>
      <c r="Z26" s="716">
        <f t="shared" si="5"/>
        <v>26698.2</v>
      </c>
      <c r="AA26" s="989">
        <f t="shared" si="6"/>
        <v>1964.7999999999956</v>
      </c>
      <c r="AB26" s="996">
        <f t="shared" si="7"/>
        <v>7697.3999999999978</v>
      </c>
    </row>
    <row r="27" spans="1:28" x14ac:dyDescent="0.25">
      <c r="A27" s="200" t="s">
        <v>677</v>
      </c>
      <c r="B27" s="87" t="s">
        <v>33</v>
      </c>
      <c r="C27" s="52">
        <v>28474.53</v>
      </c>
      <c r="D27" s="720"/>
      <c r="E27" s="720"/>
      <c r="F27" s="720"/>
      <c r="G27" s="720"/>
      <c r="H27" s="720">
        <f t="shared" si="1"/>
        <v>28474.53</v>
      </c>
      <c r="I27" s="720">
        <f t="shared" si="2"/>
        <v>21355.897499999999</v>
      </c>
      <c r="J27" s="52">
        <f t="shared" si="12"/>
        <v>2372.8775000000001</v>
      </c>
      <c r="K27" s="40">
        <f t="shared" si="13"/>
        <v>23728.774999999998</v>
      </c>
      <c r="L27" s="776">
        <v>1282.18</v>
      </c>
      <c r="M27" s="1067">
        <v>1828.18</v>
      </c>
      <c r="N27" s="1080">
        <v>1828.18</v>
      </c>
      <c r="O27" s="265">
        <v>1883.9</v>
      </c>
      <c r="P27" s="997">
        <v>1883.9</v>
      </c>
      <c r="Q27" s="997">
        <v>1883.9</v>
      </c>
      <c r="R27" s="1170">
        <v>1883.9</v>
      </c>
      <c r="S27" s="1170">
        <v>1883.9</v>
      </c>
      <c r="T27" s="1257">
        <v>2866.3</v>
      </c>
      <c r="U27" s="1279">
        <v>2866.3</v>
      </c>
      <c r="V27" s="265"/>
      <c r="W27" s="265"/>
      <c r="X27" s="997">
        <f t="shared" si="8"/>
        <v>17224.34</v>
      </c>
      <c r="Y27" s="997">
        <f t="shared" si="9"/>
        <v>2866.3</v>
      </c>
      <c r="Z27" s="716">
        <f t="shared" si="5"/>
        <v>20090.64</v>
      </c>
      <c r="AA27" s="989">
        <f t="shared" si="6"/>
        <v>3638.1349999999984</v>
      </c>
      <c r="AB27" s="996">
        <f t="shared" si="7"/>
        <v>8383.89</v>
      </c>
    </row>
    <row r="28" spans="1:28" x14ac:dyDescent="0.25">
      <c r="A28" s="456" t="s">
        <v>678</v>
      </c>
      <c r="B28" s="87" t="s">
        <v>35</v>
      </c>
      <c r="C28" s="52">
        <v>4800</v>
      </c>
      <c r="D28" s="720"/>
      <c r="E28" s="720"/>
      <c r="F28" s="720"/>
      <c r="G28" s="720"/>
      <c r="H28" s="720">
        <f t="shared" si="1"/>
        <v>4800</v>
      </c>
      <c r="I28" s="720">
        <f t="shared" si="2"/>
        <v>3600</v>
      </c>
      <c r="J28" s="52">
        <f t="shared" si="12"/>
        <v>400</v>
      </c>
      <c r="K28" s="40">
        <f t="shared" si="13"/>
        <v>4000</v>
      </c>
      <c r="L28" s="776">
        <v>400</v>
      </c>
      <c r="M28" s="1067">
        <v>400</v>
      </c>
      <c r="N28" s="1080">
        <v>400</v>
      </c>
      <c r="O28" s="265">
        <v>400</v>
      </c>
      <c r="P28" s="1155">
        <v>400</v>
      </c>
      <c r="Q28" s="1170">
        <v>400</v>
      </c>
      <c r="R28" s="1170">
        <v>400</v>
      </c>
      <c r="S28" s="1170">
        <v>400</v>
      </c>
      <c r="T28" s="1257">
        <v>400</v>
      </c>
      <c r="U28" s="1279">
        <v>400</v>
      </c>
      <c r="V28" s="265"/>
      <c r="W28" s="265"/>
      <c r="X28" s="997">
        <f t="shared" si="8"/>
        <v>3600</v>
      </c>
      <c r="Y28" s="997">
        <f t="shared" si="9"/>
        <v>400</v>
      </c>
      <c r="Z28" s="716">
        <f t="shared" si="5"/>
        <v>4000</v>
      </c>
      <c r="AA28" s="989">
        <f t="shared" si="6"/>
        <v>0</v>
      </c>
      <c r="AB28" s="996">
        <f t="shared" si="7"/>
        <v>800</v>
      </c>
    </row>
    <row r="29" spans="1:28" x14ac:dyDescent="0.25">
      <c r="A29" s="49"/>
      <c r="B29" s="54"/>
      <c r="C29" s="52"/>
      <c r="D29" s="720"/>
      <c r="E29" s="720"/>
      <c r="F29" s="720"/>
      <c r="G29" s="720"/>
      <c r="H29" s="720">
        <f t="shared" si="1"/>
        <v>0</v>
      </c>
      <c r="I29" s="720">
        <f t="shared" si="2"/>
        <v>0</v>
      </c>
      <c r="J29" s="52">
        <f t="shared" si="12"/>
        <v>0</v>
      </c>
      <c r="K29" s="40">
        <f t="shared" si="13"/>
        <v>0</v>
      </c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997">
        <f t="shared" si="8"/>
        <v>0</v>
      </c>
      <c r="Y29" s="997">
        <f t="shared" si="9"/>
        <v>0</v>
      </c>
      <c r="Z29" s="716">
        <f t="shared" si="5"/>
        <v>0</v>
      </c>
      <c r="AA29" s="989">
        <f t="shared" si="6"/>
        <v>0</v>
      </c>
      <c r="AB29" s="996">
        <f t="shared" si="7"/>
        <v>0</v>
      </c>
    </row>
    <row r="30" spans="1:28" x14ac:dyDescent="0.25">
      <c r="A30" s="53" t="s">
        <v>40</v>
      </c>
      <c r="B30" s="177"/>
      <c r="C30" s="78">
        <f>SUM(C8:C29)</f>
        <v>2584453.73</v>
      </c>
      <c r="D30" s="726">
        <f t="shared" ref="D30:H30" si="14">SUM(D8:D29)</f>
        <v>0</v>
      </c>
      <c r="E30" s="726">
        <f t="shared" si="14"/>
        <v>0</v>
      </c>
      <c r="F30" s="726">
        <f t="shared" si="14"/>
        <v>0</v>
      </c>
      <c r="G30" s="726">
        <f t="shared" si="14"/>
        <v>0</v>
      </c>
      <c r="H30" s="726">
        <f t="shared" si="14"/>
        <v>2584453.73</v>
      </c>
      <c r="I30" s="78">
        <f t="shared" ref="I30:Z30" si="15">SUM(I8:I29)</f>
        <v>1942340.2974999999</v>
      </c>
      <c r="J30" s="78">
        <f t="shared" si="15"/>
        <v>215371.14416666661</v>
      </c>
      <c r="K30" s="78">
        <f t="shared" si="15"/>
        <v>2157711.4416666669</v>
      </c>
      <c r="L30" s="78">
        <f t="shared" si="15"/>
        <v>195120.74</v>
      </c>
      <c r="M30" s="78">
        <f t="shared" si="15"/>
        <v>179666.74</v>
      </c>
      <c r="N30" s="78">
        <f t="shared" si="15"/>
        <v>179666.74</v>
      </c>
      <c r="O30" s="78">
        <f t="shared" si="15"/>
        <v>203484.62</v>
      </c>
      <c r="P30" s="78">
        <f t="shared" si="15"/>
        <v>328978</v>
      </c>
      <c r="Q30" s="78">
        <f t="shared" si="15"/>
        <v>185662.99999999997</v>
      </c>
      <c r="R30" s="78">
        <f t="shared" si="15"/>
        <v>185662.99999999997</v>
      </c>
      <c r="S30" s="78">
        <f t="shared" si="15"/>
        <v>185662.99999999997</v>
      </c>
      <c r="T30" s="78">
        <f t="shared" si="15"/>
        <v>185662.99999999997</v>
      </c>
      <c r="U30" s="78">
        <f t="shared" si="15"/>
        <v>188962.99999999997</v>
      </c>
      <c r="V30" s="78">
        <f t="shared" si="15"/>
        <v>0</v>
      </c>
      <c r="W30" s="78">
        <f t="shared" si="15"/>
        <v>0</v>
      </c>
      <c r="X30" s="78">
        <f t="shared" si="15"/>
        <v>1829568.84</v>
      </c>
      <c r="Y30" s="78">
        <f t="shared" si="15"/>
        <v>188962.99999999997</v>
      </c>
      <c r="Z30" s="78">
        <f t="shared" si="15"/>
        <v>2018531.8399999999</v>
      </c>
      <c r="AA30" s="78">
        <f>SUM(AA8:AA29)</f>
        <v>139179.60166666668</v>
      </c>
      <c r="AB30" s="78">
        <f>SUM(AB8:AB29)</f>
        <v>565921.89000000013</v>
      </c>
    </row>
    <row r="31" spans="1:28" x14ac:dyDescent="0.25">
      <c r="A31" s="53" t="s">
        <v>176</v>
      </c>
      <c r="B31" s="178"/>
      <c r="C31" s="117"/>
      <c r="D31" s="117"/>
      <c r="E31" s="117"/>
      <c r="F31" s="117"/>
      <c r="G31" s="117"/>
      <c r="H31" s="117"/>
      <c r="I31" s="117"/>
      <c r="J31" s="117"/>
      <c r="K31" s="123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123"/>
      <c r="AA31" s="123"/>
      <c r="AB31" s="188"/>
    </row>
    <row r="32" spans="1:28" x14ac:dyDescent="0.25">
      <c r="A32" s="285" t="s">
        <v>42</v>
      </c>
      <c r="B32" s="413" t="s">
        <v>43</v>
      </c>
      <c r="C32" s="117"/>
      <c r="D32" s="117"/>
      <c r="E32" s="117"/>
      <c r="F32" s="117"/>
      <c r="G32" s="117"/>
      <c r="H32" s="117"/>
      <c r="I32" s="117"/>
      <c r="J32" s="117"/>
      <c r="K32" s="40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997">
        <f t="shared" ref="X32:X55" si="16">L32+M32+N32+O32+P32+Q32+R32+S32+T32</f>
        <v>0</v>
      </c>
      <c r="Y32" s="997">
        <f t="shared" ref="Y32:Y55" si="17">U32</f>
        <v>0</v>
      </c>
      <c r="Z32" s="188"/>
      <c r="AA32" s="40"/>
      <c r="AB32" s="188"/>
    </row>
    <row r="33" spans="1:28" x14ac:dyDescent="0.25">
      <c r="A33" s="179" t="s">
        <v>679</v>
      </c>
      <c r="B33" s="413"/>
      <c r="C33" s="52">
        <f>50000+49800</f>
        <v>99800</v>
      </c>
      <c r="D33" s="720"/>
      <c r="E33" s="720"/>
      <c r="F33" s="720"/>
      <c r="G33" s="720"/>
      <c r="H33" s="720">
        <f t="shared" ref="H33:H55" si="18">SUM(C33:G33)</f>
        <v>99800</v>
      </c>
      <c r="I33" s="720">
        <f t="shared" ref="I33:I55" si="19">H33/12*9</f>
        <v>74850</v>
      </c>
      <c r="J33" s="720">
        <f t="shared" ref="J33:J55" si="20">H33/12</f>
        <v>8316.6666666666661</v>
      </c>
      <c r="K33" s="989">
        <f t="shared" ref="K33:K55" si="21">I33+J33</f>
        <v>83166.666666666672</v>
      </c>
      <c r="L33" s="266"/>
      <c r="M33" s="265">
        <v>2480</v>
      </c>
      <c r="N33" s="265">
        <v>8960</v>
      </c>
      <c r="O33" s="265">
        <v>2640</v>
      </c>
      <c r="P33" s="265">
        <v>1240</v>
      </c>
      <c r="Q33" s="265"/>
      <c r="R33" s="265">
        <v>6288</v>
      </c>
      <c r="S33" s="265">
        <v>9780</v>
      </c>
      <c r="T33" s="265">
        <v>15300</v>
      </c>
      <c r="U33" s="265">
        <v>1760</v>
      </c>
      <c r="V33" s="265"/>
      <c r="W33" s="265"/>
      <c r="X33" s="997">
        <f t="shared" si="16"/>
        <v>46688</v>
      </c>
      <c r="Y33" s="997">
        <f t="shared" si="17"/>
        <v>1760</v>
      </c>
      <c r="Z33" s="109">
        <f t="shared" ref="Z33:Z55" si="22">X33+Y33</f>
        <v>48448</v>
      </c>
      <c r="AA33" s="989">
        <f t="shared" ref="AA33:AA55" si="23">K33-Z33</f>
        <v>34718.666666666672</v>
      </c>
      <c r="AB33" s="996">
        <f t="shared" ref="AB33:AB55" si="24">H33-Z33</f>
        <v>51352</v>
      </c>
    </row>
    <row r="34" spans="1:28" x14ac:dyDescent="0.25">
      <c r="A34" s="179" t="s">
        <v>680</v>
      </c>
      <c r="B34" s="413"/>
      <c r="C34" s="52">
        <v>20000</v>
      </c>
      <c r="D34" s="720"/>
      <c r="E34" s="720"/>
      <c r="F34" s="720"/>
      <c r="G34" s="720"/>
      <c r="H34" s="720">
        <f t="shared" si="18"/>
        <v>20000</v>
      </c>
      <c r="I34" s="720">
        <f t="shared" si="19"/>
        <v>15000</v>
      </c>
      <c r="J34" s="720">
        <f t="shared" si="20"/>
        <v>1666.6666666666667</v>
      </c>
      <c r="K34" s="989">
        <f t="shared" si="21"/>
        <v>16666.666666666668</v>
      </c>
      <c r="L34" s="266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997">
        <f t="shared" si="16"/>
        <v>0</v>
      </c>
      <c r="Y34" s="997">
        <f t="shared" si="17"/>
        <v>0</v>
      </c>
      <c r="Z34" s="716">
        <f t="shared" si="22"/>
        <v>0</v>
      </c>
      <c r="AA34" s="989">
        <f t="shared" si="23"/>
        <v>16666.666666666668</v>
      </c>
      <c r="AB34" s="996">
        <f t="shared" si="24"/>
        <v>20000</v>
      </c>
    </row>
    <row r="35" spans="1:28" x14ac:dyDescent="0.25">
      <c r="A35" s="285" t="s">
        <v>233</v>
      </c>
      <c r="B35" s="413" t="s">
        <v>140</v>
      </c>
      <c r="C35" s="52"/>
      <c r="D35" s="720"/>
      <c r="E35" s="720"/>
      <c r="F35" s="720"/>
      <c r="G35" s="720"/>
      <c r="H35" s="720">
        <f t="shared" si="18"/>
        <v>0</v>
      </c>
      <c r="I35" s="720">
        <f t="shared" si="19"/>
        <v>0</v>
      </c>
      <c r="J35" s="720">
        <f t="shared" si="20"/>
        <v>0</v>
      </c>
      <c r="K35" s="989">
        <f t="shared" si="21"/>
        <v>0</v>
      </c>
      <c r="L35" s="266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997">
        <f t="shared" si="16"/>
        <v>0</v>
      </c>
      <c r="Y35" s="997">
        <f t="shared" si="17"/>
        <v>0</v>
      </c>
      <c r="Z35" s="716">
        <f t="shared" si="22"/>
        <v>0</v>
      </c>
      <c r="AA35" s="989">
        <f t="shared" si="23"/>
        <v>0</v>
      </c>
      <c r="AB35" s="996">
        <f t="shared" si="24"/>
        <v>0</v>
      </c>
    </row>
    <row r="36" spans="1:28" x14ac:dyDescent="0.25">
      <c r="A36" s="179" t="s">
        <v>679</v>
      </c>
      <c r="B36" s="413"/>
      <c r="C36" s="52">
        <v>31000</v>
      </c>
      <c r="D36" s="720"/>
      <c r="E36" s="720">
        <f>20000</f>
        <v>20000</v>
      </c>
      <c r="F36" s="720"/>
      <c r="G36" s="720"/>
      <c r="H36" s="720">
        <f t="shared" si="18"/>
        <v>51000</v>
      </c>
      <c r="I36" s="720">
        <f t="shared" si="19"/>
        <v>38250</v>
      </c>
      <c r="J36" s="720">
        <f t="shared" si="20"/>
        <v>4250</v>
      </c>
      <c r="K36" s="989">
        <f t="shared" si="21"/>
        <v>42500</v>
      </c>
      <c r="L36" s="78"/>
      <c r="M36" s="78"/>
      <c r="N36" s="78">
        <v>700</v>
      </c>
      <c r="O36" s="78">
        <v>8460</v>
      </c>
      <c r="P36" s="78"/>
      <c r="Q36" s="78"/>
      <c r="R36" s="78">
        <f>7260*2</f>
        <v>14520</v>
      </c>
      <c r="S36" s="78">
        <v>14960</v>
      </c>
      <c r="T36" s="78">
        <f>6607.5</f>
        <v>6607.5</v>
      </c>
      <c r="U36" s="1278">
        <v>500</v>
      </c>
      <c r="V36" s="78"/>
      <c r="W36" s="78"/>
      <c r="X36" s="997">
        <f t="shared" si="16"/>
        <v>45247.5</v>
      </c>
      <c r="Y36" s="997">
        <f t="shared" si="17"/>
        <v>500</v>
      </c>
      <c r="Z36" s="716">
        <f t="shared" si="22"/>
        <v>45747.5</v>
      </c>
      <c r="AA36" s="989">
        <f t="shared" si="23"/>
        <v>-3247.5</v>
      </c>
      <c r="AB36" s="996">
        <f t="shared" si="24"/>
        <v>5252.5</v>
      </c>
    </row>
    <row r="37" spans="1:28" x14ac:dyDescent="0.25">
      <c r="A37" s="285" t="s">
        <v>50</v>
      </c>
      <c r="B37" s="413" t="s">
        <v>51</v>
      </c>
      <c r="C37" s="52"/>
      <c r="D37" s="720"/>
      <c r="E37" s="720"/>
      <c r="F37" s="720"/>
      <c r="G37" s="720"/>
      <c r="H37" s="720">
        <f t="shared" si="18"/>
        <v>0</v>
      </c>
      <c r="I37" s="720">
        <f t="shared" si="19"/>
        <v>0</v>
      </c>
      <c r="J37" s="720">
        <f t="shared" si="20"/>
        <v>0</v>
      </c>
      <c r="K37" s="989">
        <f t="shared" si="21"/>
        <v>0</v>
      </c>
      <c r="L37" s="266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997">
        <f t="shared" si="16"/>
        <v>0</v>
      </c>
      <c r="Y37" s="997">
        <f t="shared" si="17"/>
        <v>0</v>
      </c>
      <c r="Z37" s="716">
        <f t="shared" si="22"/>
        <v>0</v>
      </c>
      <c r="AA37" s="989">
        <f t="shared" si="23"/>
        <v>0</v>
      </c>
      <c r="AB37" s="996">
        <f t="shared" si="24"/>
        <v>0</v>
      </c>
    </row>
    <row r="38" spans="1:28" x14ac:dyDescent="0.25">
      <c r="A38" s="179" t="s">
        <v>679</v>
      </c>
      <c r="B38" s="413"/>
      <c r="C38" s="52">
        <f>62000+2400</f>
        <v>64400</v>
      </c>
      <c r="D38" s="720"/>
      <c r="E38" s="720"/>
      <c r="F38" s="720"/>
      <c r="G38" s="720"/>
      <c r="H38" s="720">
        <f t="shared" si="18"/>
        <v>64400</v>
      </c>
      <c r="I38" s="720">
        <f t="shared" si="19"/>
        <v>48300</v>
      </c>
      <c r="J38" s="720">
        <f t="shared" si="20"/>
        <v>5366.666666666667</v>
      </c>
      <c r="K38" s="989">
        <f t="shared" si="21"/>
        <v>53666.666666666664</v>
      </c>
      <c r="L38" s="266"/>
      <c r="M38" s="265"/>
      <c r="N38" s="265">
        <v>20245</v>
      </c>
      <c r="O38" s="265">
        <v>2788</v>
      </c>
      <c r="P38" s="265"/>
      <c r="Q38" s="265">
        <v>11584.5</v>
      </c>
      <c r="R38" s="265">
        <v>825</v>
      </c>
      <c r="S38" s="265">
        <f>1260+2400</f>
        <v>3660</v>
      </c>
      <c r="T38" s="265">
        <v>9360</v>
      </c>
      <c r="U38" s="265"/>
      <c r="V38" s="265"/>
      <c r="W38" s="265"/>
      <c r="X38" s="997">
        <f t="shared" si="16"/>
        <v>48462.5</v>
      </c>
      <c r="Y38" s="997">
        <f t="shared" si="17"/>
        <v>0</v>
      </c>
      <c r="Z38" s="716">
        <f t="shared" si="22"/>
        <v>48462.5</v>
      </c>
      <c r="AA38" s="989">
        <f t="shared" si="23"/>
        <v>5204.1666666666642</v>
      </c>
      <c r="AB38" s="996">
        <f t="shared" si="24"/>
        <v>15937.5</v>
      </c>
    </row>
    <row r="39" spans="1:28" x14ac:dyDescent="0.25">
      <c r="A39" s="179" t="s">
        <v>681</v>
      </c>
      <c r="B39" s="413"/>
      <c r="C39" s="52">
        <v>10000</v>
      </c>
      <c r="D39" s="720"/>
      <c r="E39" s="720"/>
      <c r="F39" s="720"/>
      <c r="G39" s="720"/>
      <c r="H39" s="720">
        <f t="shared" si="18"/>
        <v>10000</v>
      </c>
      <c r="I39" s="720">
        <f t="shared" si="19"/>
        <v>7500</v>
      </c>
      <c r="J39" s="720">
        <f t="shared" si="20"/>
        <v>833.33333333333337</v>
      </c>
      <c r="K39" s="989">
        <f t="shared" si="21"/>
        <v>8333.3333333333339</v>
      </c>
      <c r="L39" s="52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997">
        <f t="shared" si="16"/>
        <v>0</v>
      </c>
      <c r="Y39" s="997">
        <f t="shared" si="17"/>
        <v>0</v>
      </c>
      <c r="Z39" s="716">
        <f t="shared" si="22"/>
        <v>0</v>
      </c>
      <c r="AA39" s="989">
        <f t="shared" si="23"/>
        <v>8333.3333333333339</v>
      </c>
      <c r="AB39" s="996">
        <f t="shared" si="24"/>
        <v>10000</v>
      </c>
    </row>
    <row r="40" spans="1:28" x14ac:dyDescent="0.25">
      <c r="A40" s="179" t="s">
        <v>255</v>
      </c>
      <c r="B40" s="103"/>
      <c r="C40" s="52">
        <v>20000</v>
      </c>
      <c r="D40" s="720"/>
      <c r="E40" s="720"/>
      <c r="F40" s="720"/>
      <c r="G40" s="720"/>
      <c r="H40" s="720">
        <f t="shared" si="18"/>
        <v>20000</v>
      </c>
      <c r="I40" s="720">
        <f t="shared" si="19"/>
        <v>15000</v>
      </c>
      <c r="J40" s="720">
        <f t="shared" si="20"/>
        <v>1666.6666666666667</v>
      </c>
      <c r="K40" s="989">
        <f t="shared" si="21"/>
        <v>16666.666666666668</v>
      </c>
      <c r="L40" s="40"/>
      <c r="M40" s="109"/>
      <c r="N40" s="109"/>
      <c r="O40" s="109"/>
      <c r="P40" s="109"/>
      <c r="Q40" s="109">
        <v>783</v>
      </c>
      <c r="R40" s="109"/>
      <c r="S40" s="109">
        <v>2465</v>
      </c>
      <c r="T40" s="109"/>
      <c r="U40" s="109"/>
      <c r="V40" s="109"/>
      <c r="W40" s="109"/>
      <c r="X40" s="997">
        <f t="shared" si="16"/>
        <v>3248</v>
      </c>
      <c r="Y40" s="997">
        <f t="shared" si="17"/>
        <v>0</v>
      </c>
      <c r="Z40" s="716">
        <f t="shared" si="22"/>
        <v>3248</v>
      </c>
      <c r="AA40" s="989">
        <f t="shared" si="23"/>
        <v>13418.666666666668</v>
      </c>
      <c r="AB40" s="996">
        <f t="shared" si="24"/>
        <v>16752</v>
      </c>
    </row>
    <row r="41" spans="1:28" x14ac:dyDescent="0.25">
      <c r="A41" s="179" t="s">
        <v>682</v>
      </c>
      <c r="B41" s="103"/>
      <c r="C41" s="52">
        <v>10000</v>
      </c>
      <c r="D41" s="720"/>
      <c r="E41" s="720"/>
      <c r="F41" s="720"/>
      <c r="G41" s="720"/>
      <c r="H41" s="720">
        <f t="shared" si="18"/>
        <v>10000</v>
      </c>
      <c r="I41" s="720">
        <f t="shared" si="19"/>
        <v>7500</v>
      </c>
      <c r="J41" s="720">
        <f t="shared" si="20"/>
        <v>833.33333333333337</v>
      </c>
      <c r="K41" s="989">
        <f t="shared" si="21"/>
        <v>8333.3333333333339</v>
      </c>
      <c r="L41" s="265"/>
      <c r="M41" s="265"/>
      <c r="N41" s="265"/>
      <c r="O41" s="265"/>
      <c r="P41" s="997"/>
      <c r="Q41" s="265"/>
      <c r="R41" s="997">
        <v>3500</v>
      </c>
      <c r="S41" s="265"/>
      <c r="T41" s="265"/>
      <c r="U41" s="265"/>
      <c r="V41" s="265"/>
      <c r="W41" s="265"/>
      <c r="X41" s="997">
        <f t="shared" si="16"/>
        <v>3500</v>
      </c>
      <c r="Y41" s="997">
        <f t="shared" si="17"/>
        <v>0</v>
      </c>
      <c r="Z41" s="716">
        <f t="shared" si="22"/>
        <v>3500</v>
      </c>
      <c r="AA41" s="989">
        <f t="shared" si="23"/>
        <v>4833.3333333333339</v>
      </c>
      <c r="AB41" s="996">
        <f t="shared" si="24"/>
        <v>6500</v>
      </c>
    </row>
    <row r="42" spans="1:28" x14ac:dyDescent="0.25">
      <c r="A42" s="61" t="s">
        <v>683</v>
      </c>
      <c r="B42" s="413" t="s">
        <v>56</v>
      </c>
      <c r="C42" s="52">
        <v>12000</v>
      </c>
      <c r="D42" s="720"/>
      <c r="E42" s="720"/>
      <c r="F42" s="720"/>
      <c r="G42" s="720"/>
      <c r="H42" s="720">
        <f t="shared" si="18"/>
        <v>12000</v>
      </c>
      <c r="I42" s="720">
        <f t="shared" si="19"/>
        <v>9000</v>
      </c>
      <c r="J42" s="720">
        <f t="shared" si="20"/>
        <v>1000</v>
      </c>
      <c r="K42" s="989">
        <f t="shared" si="21"/>
        <v>10000</v>
      </c>
      <c r="L42" s="40"/>
      <c r="M42" s="989">
        <v>980</v>
      </c>
      <c r="N42" s="109"/>
      <c r="O42" s="109"/>
      <c r="P42" s="989">
        <v>725</v>
      </c>
      <c r="Q42" s="109"/>
      <c r="R42" s="989">
        <v>1000</v>
      </c>
      <c r="S42" s="109"/>
      <c r="T42" s="109">
        <v>1000</v>
      </c>
      <c r="U42" s="109"/>
      <c r="V42" s="109"/>
      <c r="W42" s="109"/>
      <c r="X42" s="997">
        <f t="shared" si="16"/>
        <v>3705</v>
      </c>
      <c r="Y42" s="997">
        <f t="shared" si="17"/>
        <v>0</v>
      </c>
      <c r="Z42" s="716">
        <f t="shared" si="22"/>
        <v>3705</v>
      </c>
      <c r="AA42" s="989">
        <f t="shared" si="23"/>
        <v>6295</v>
      </c>
      <c r="AB42" s="996">
        <f t="shared" si="24"/>
        <v>8295</v>
      </c>
    </row>
    <row r="43" spans="1:28" x14ac:dyDescent="0.25">
      <c r="A43" s="285" t="s">
        <v>481</v>
      </c>
      <c r="B43" s="411" t="s">
        <v>60</v>
      </c>
      <c r="C43" s="52">
        <v>72000</v>
      </c>
      <c r="D43" s="720"/>
      <c r="E43" s="720"/>
      <c r="F43" s="720"/>
      <c r="G43" s="720"/>
      <c r="H43" s="720">
        <f t="shared" si="18"/>
        <v>72000</v>
      </c>
      <c r="I43" s="720">
        <f t="shared" si="19"/>
        <v>54000</v>
      </c>
      <c r="J43" s="720">
        <f t="shared" si="20"/>
        <v>6000</v>
      </c>
      <c r="K43" s="989">
        <f t="shared" si="21"/>
        <v>60000</v>
      </c>
      <c r="L43" s="265">
        <v>1923.98</v>
      </c>
      <c r="M43" s="265">
        <v>9695</v>
      </c>
      <c r="N43" s="997">
        <v>5695</v>
      </c>
      <c r="O43" s="265">
        <v>5701.99</v>
      </c>
      <c r="P43" s="997">
        <v>5442</v>
      </c>
      <c r="Q43" s="265">
        <v>5793.99</v>
      </c>
      <c r="R43" s="997">
        <v>1700.99</v>
      </c>
      <c r="S43" s="265">
        <v>5657.51</v>
      </c>
      <c r="T43" s="265">
        <v>9695</v>
      </c>
      <c r="U43" s="265">
        <v>1695</v>
      </c>
      <c r="V43" s="265"/>
      <c r="W43" s="265"/>
      <c r="X43" s="997">
        <f t="shared" si="16"/>
        <v>51305.46</v>
      </c>
      <c r="Y43" s="997">
        <f t="shared" si="17"/>
        <v>1695</v>
      </c>
      <c r="Z43" s="716">
        <f t="shared" si="22"/>
        <v>53000.46</v>
      </c>
      <c r="AA43" s="989">
        <f t="shared" si="23"/>
        <v>6999.5400000000009</v>
      </c>
      <c r="AB43" s="996">
        <f t="shared" si="24"/>
        <v>18999.54</v>
      </c>
    </row>
    <row r="44" spans="1:28" x14ac:dyDescent="0.25">
      <c r="A44" s="285" t="s">
        <v>61</v>
      </c>
      <c r="B44" s="411" t="s">
        <v>62</v>
      </c>
      <c r="C44" s="52">
        <f>36000-2400</f>
        <v>33600</v>
      </c>
      <c r="D44" s="720"/>
      <c r="E44" s="720"/>
      <c r="F44" s="720"/>
      <c r="G44" s="720"/>
      <c r="H44" s="720">
        <f t="shared" si="18"/>
        <v>33600</v>
      </c>
      <c r="I44" s="720">
        <f t="shared" si="19"/>
        <v>25200</v>
      </c>
      <c r="J44" s="720">
        <f t="shared" si="20"/>
        <v>2800</v>
      </c>
      <c r="K44" s="989">
        <f t="shared" si="21"/>
        <v>28000</v>
      </c>
      <c r="L44" s="265">
        <v>2595.98</v>
      </c>
      <c r="M44" s="265"/>
      <c r="N44" s="997">
        <v>1297.99</v>
      </c>
      <c r="O44" s="265">
        <v>2577.98</v>
      </c>
      <c r="P44" s="997">
        <v>1800</v>
      </c>
      <c r="Q44" s="265"/>
      <c r="R44" s="997">
        <v>849.5</v>
      </c>
      <c r="S44" s="265">
        <v>849.5</v>
      </c>
      <c r="T44" s="265">
        <v>849.5</v>
      </c>
      <c r="U44" s="265">
        <v>849.5</v>
      </c>
      <c r="V44" s="265"/>
      <c r="W44" s="265"/>
      <c r="X44" s="997">
        <f t="shared" si="16"/>
        <v>10820.45</v>
      </c>
      <c r="Y44" s="997">
        <f t="shared" si="17"/>
        <v>849.5</v>
      </c>
      <c r="Z44" s="716">
        <f t="shared" si="22"/>
        <v>11669.95</v>
      </c>
      <c r="AA44" s="989">
        <f t="shared" si="23"/>
        <v>16330.05</v>
      </c>
      <c r="AB44" s="996">
        <f t="shared" si="24"/>
        <v>21930.05</v>
      </c>
    </row>
    <row r="45" spans="1:28" x14ac:dyDescent="0.25">
      <c r="A45" s="285" t="s">
        <v>69</v>
      </c>
      <c r="B45" s="413" t="s">
        <v>70</v>
      </c>
      <c r="C45" s="52">
        <f>865800-75000</f>
        <v>790800</v>
      </c>
      <c r="D45" s="720"/>
      <c r="E45" s="720"/>
      <c r="F45" s="720"/>
      <c r="G45" s="720"/>
      <c r="H45" s="720">
        <f t="shared" si="18"/>
        <v>790800</v>
      </c>
      <c r="I45" s="720">
        <f t="shared" si="19"/>
        <v>593100</v>
      </c>
      <c r="J45" s="720">
        <f t="shared" si="20"/>
        <v>65900</v>
      </c>
      <c r="K45" s="989">
        <f t="shared" si="21"/>
        <v>659000</v>
      </c>
      <c r="L45" s="720">
        <v>38987.53</v>
      </c>
      <c r="M45" s="78">
        <v>66250.429999999993</v>
      </c>
      <c r="N45" s="720">
        <v>68868.31</v>
      </c>
      <c r="O45" s="78">
        <v>70872.39</v>
      </c>
      <c r="P45" s="720">
        <v>64506.93</v>
      </c>
      <c r="Q45" s="720">
        <v>69489.350000000006</v>
      </c>
      <c r="R45" s="720">
        <v>47309.08</v>
      </c>
      <c r="S45" s="720">
        <v>64460</v>
      </c>
      <c r="T45" s="78">
        <v>59694.32</v>
      </c>
      <c r="U45" s="78">
        <f>29895+32600</f>
        <v>62495</v>
      </c>
      <c r="V45" s="78"/>
      <c r="W45" s="78"/>
      <c r="X45" s="997">
        <f t="shared" si="16"/>
        <v>550438.34</v>
      </c>
      <c r="Y45" s="997">
        <f t="shared" si="17"/>
        <v>62495</v>
      </c>
      <c r="Z45" s="989">
        <f t="shared" si="22"/>
        <v>612933.34</v>
      </c>
      <c r="AA45" s="989">
        <f t="shared" si="23"/>
        <v>46066.660000000033</v>
      </c>
      <c r="AB45" s="996">
        <f t="shared" si="24"/>
        <v>177866.66000000003</v>
      </c>
    </row>
    <row r="46" spans="1:28" s="987" customFormat="1" x14ac:dyDescent="0.25">
      <c r="A46" s="882" t="s">
        <v>1246</v>
      </c>
      <c r="B46" s="413"/>
      <c r="C46" s="720"/>
      <c r="D46" s="720"/>
      <c r="E46" s="720"/>
      <c r="F46" s="720"/>
      <c r="G46" s="720">
        <v>100000</v>
      </c>
      <c r="H46" s="720">
        <f t="shared" si="18"/>
        <v>100000</v>
      </c>
      <c r="I46" s="720">
        <f t="shared" si="19"/>
        <v>75000</v>
      </c>
      <c r="J46" s="720">
        <f t="shared" ref="J46" si="25">H46/12</f>
        <v>8333.3333333333339</v>
      </c>
      <c r="K46" s="989">
        <f t="shared" ref="K46" si="26">I46+J46</f>
        <v>83333.333333333328</v>
      </c>
      <c r="L46" s="720"/>
      <c r="M46" s="726"/>
      <c r="N46" s="720"/>
      <c r="O46" s="726"/>
      <c r="P46" s="720"/>
      <c r="Q46" s="720">
        <v>46930</v>
      </c>
      <c r="R46" s="720">
        <v>48165</v>
      </c>
      <c r="S46" s="726"/>
      <c r="T46" s="726"/>
      <c r="U46" s="726"/>
      <c r="V46" s="726"/>
      <c r="W46" s="726"/>
      <c r="X46" s="997">
        <f t="shared" si="16"/>
        <v>95095</v>
      </c>
      <c r="Y46" s="997">
        <f t="shared" si="17"/>
        <v>0</v>
      </c>
      <c r="Z46" s="989">
        <f t="shared" si="22"/>
        <v>95095</v>
      </c>
      <c r="AA46" s="989">
        <f t="shared" si="23"/>
        <v>-11761.666666666672</v>
      </c>
      <c r="AB46" s="996">
        <f t="shared" si="24"/>
        <v>4905</v>
      </c>
    </row>
    <row r="47" spans="1:28" x14ac:dyDescent="0.25">
      <c r="A47" s="285" t="s">
        <v>226</v>
      </c>
      <c r="B47" s="413" t="s">
        <v>225</v>
      </c>
      <c r="C47" s="52">
        <v>75000</v>
      </c>
      <c r="D47" s="720"/>
      <c r="E47" s="720"/>
      <c r="F47" s="720"/>
      <c r="G47" s="720"/>
      <c r="H47" s="720">
        <f t="shared" si="18"/>
        <v>75000</v>
      </c>
      <c r="I47" s="720">
        <f t="shared" si="19"/>
        <v>56250</v>
      </c>
      <c r="J47" s="720">
        <f t="shared" si="20"/>
        <v>6250</v>
      </c>
      <c r="K47" s="989">
        <f t="shared" si="21"/>
        <v>62500</v>
      </c>
      <c r="L47" s="265"/>
      <c r="M47" s="265"/>
      <c r="N47" s="997"/>
      <c r="O47" s="265"/>
      <c r="P47" s="997"/>
      <c r="Q47" s="997"/>
      <c r="R47" s="997"/>
      <c r="S47" s="265"/>
      <c r="T47" s="265"/>
      <c r="U47" s="265"/>
      <c r="V47" s="265"/>
      <c r="W47" s="265"/>
      <c r="X47" s="997">
        <f t="shared" si="16"/>
        <v>0</v>
      </c>
      <c r="Y47" s="997">
        <f t="shared" si="17"/>
        <v>0</v>
      </c>
      <c r="Z47" s="989">
        <f t="shared" si="22"/>
        <v>0</v>
      </c>
      <c r="AA47" s="989">
        <f t="shared" si="23"/>
        <v>62500</v>
      </c>
      <c r="AB47" s="996">
        <f t="shared" si="24"/>
        <v>75000</v>
      </c>
    </row>
    <row r="48" spans="1:28" x14ac:dyDescent="0.25">
      <c r="A48" s="273" t="s">
        <v>684</v>
      </c>
      <c r="B48" s="413" t="s">
        <v>158</v>
      </c>
      <c r="C48" s="52"/>
      <c r="D48" s="720"/>
      <c r="E48" s="720"/>
      <c r="F48" s="720"/>
      <c r="G48" s="720"/>
      <c r="H48" s="720">
        <f t="shared" si="18"/>
        <v>0</v>
      </c>
      <c r="I48" s="720">
        <f t="shared" si="19"/>
        <v>0</v>
      </c>
      <c r="J48" s="720">
        <f t="shared" si="20"/>
        <v>0</v>
      </c>
      <c r="K48" s="989">
        <f t="shared" si="21"/>
        <v>0</v>
      </c>
      <c r="L48" s="109"/>
      <c r="M48" s="109"/>
      <c r="N48" s="989"/>
      <c r="O48" s="109"/>
      <c r="P48" s="989"/>
      <c r="Q48" s="989"/>
      <c r="R48" s="109"/>
      <c r="S48" s="109"/>
      <c r="T48" s="109"/>
      <c r="U48" s="109"/>
      <c r="V48" s="109"/>
      <c r="W48" s="109"/>
      <c r="X48" s="997">
        <f t="shared" si="16"/>
        <v>0</v>
      </c>
      <c r="Y48" s="997">
        <f t="shared" si="17"/>
        <v>0</v>
      </c>
      <c r="Z48" s="989">
        <f t="shared" si="22"/>
        <v>0</v>
      </c>
      <c r="AA48" s="989">
        <f t="shared" si="23"/>
        <v>0</v>
      </c>
      <c r="AB48" s="996">
        <f t="shared" si="24"/>
        <v>0</v>
      </c>
    </row>
    <row r="49" spans="1:28" x14ac:dyDescent="0.25">
      <c r="A49" s="179" t="s">
        <v>685</v>
      </c>
      <c r="B49" s="413"/>
      <c r="C49" s="52">
        <v>20000</v>
      </c>
      <c r="D49" s="720"/>
      <c r="E49" s="720"/>
      <c r="F49" s="720"/>
      <c r="G49" s="720"/>
      <c r="H49" s="720">
        <f t="shared" si="18"/>
        <v>20000</v>
      </c>
      <c r="I49" s="720">
        <f t="shared" si="19"/>
        <v>15000</v>
      </c>
      <c r="J49" s="720">
        <f t="shared" si="20"/>
        <v>1666.6666666666667</v>
      </c>
      <c r="K49" s="989">
        <f t="shared" si="21"/>
        <v>16666.666666666668</v>
      </c>
      <c r="L49" s="109"/>
      <c r="M49" s="109"/>
      <c r="N49" s="109"/>
      <c r="O49" s="109"/>
      <c r="P49" s="989"/>
      <c r="Q49" s="989"/>
      <c r="R49" s="109"/>
      <c r="S49" s="109"/>
      <c r="T49" s="109"/>
      <c r="U49" s="109"/>
      <c r="V49" s="109"/>
      <c r="W49" s="109"/>
      <c r="X49" s="997">
        <f t="shared" si="16"/>
        <v>0</v>
      </c>
      <c r="Y49" s="997">
        <f t="shared" si="17"/>
        <v>0</v>
      </c>
      <c r="Z49" s="989">
        <f t="shared" si="22"/>
        <v>0</v>
      </c>
      <c r="AA49" s="989">
        <f t="shared" si="23"/>
        <v>16666.666666666668</v>
      </c>
      <c r="AB49" s="996">
        <f t="shared" si="24"/>
        <v>20000</v>
      </c>
    </row>
    <row r="50" spans="1:28" x14ac:dyDescent="0.25">
      <c r="A50" s="273" t="s">
        <v>606</v>
      </c>
      <c r="B50" s="413" t="s">
        <v>76</v>
      </c>
      <c r="C50" s="52"/>
      <c r="D50" s="720"/>
      <c r="E50" s="720"/>
      <c r="F50" s="720"/>
      <c r="G50" s="720"/>
      <c r="H50" s="720">
        <f t="shared" si="18"/>
        <v>0</v>
      </c>
      <c r="I50" s="720">
        <f t="shared" si="19"/>
        <v>0</v>
      </c>
      <c r="J50" s="720">
        <f t="shared" si="20"/>
        <v>0</v>
      </c>
      <c r="K50" s="989">
        <f t="shared" si="21"/>
        <v>0</v>
      </c>
      <c r="L50" s="265"/>
      <c r="M50" s="265"/>
      <c r="N50" s="265"/>
      <c r="O50" s="265"/>
      <c r="P50" s="997"/>
      <c r="Q50" s="265"/>
      <c r="R50" s="265"/>
      <c r="S50" s="265"/>
      <c r="T50" s="265"/>
      <c r="U50" s="265"/>
      <c r="V50" s="265"/>
      <c r="W50" s="265"/>
      <c r="X50" s="997">
        <f t="shared" si="16"/>
        <v>0</v>
      </c>
      <c r="Y50" s="997">
        <f t="shared" si="17"/>
        <v>0</v>
      </c>
      <c r="Z50" s="989">
        <f t="shared" si="22"/>
        <v>0</v>
      </c>
      <c r="AA50" s="989">
        <f t="shared" si="23"/>
        <v>0</v>
      </c>
      <c r="AB50" s="996">
        <f t="shared" si="24"/>
        <v>0</v>
      </c>
    </row>
    <row r="51" spans="1:28" x14ac:dyDescent="0.25">
      <c r="A51" s="383" t="s">
        <v>110</v>
      </c>
      <c r="B51" s="413"/>
      <c r="C51" s="52">
        <v>5000</v>
      </c>
      <c r="D51" s="720"/>
      <c r="E51" s="720"/>
      <c r="F51" s="720"/>
      <c r="G51" s="720"/>
      <c r="H51" s="720">
        <f t="shared" si="18"/>
        <v>5000</v>
      </c>
      <c r="I51" s="720">
        <f t="shared" si="19"/>
        <v>3750</v>
      </c>
      <c r="J51" s="720">
        <f t="shared" si="20"/>
        <v>416.66666666666669</v>
      </c>
      <c r="K51" s="989">
        <f t="shared" si="21"/>
        <v>4166.666666666667</v>
      </c>
      <c r="L51" s="265"/>
      <c r="M51" s="265"/>
      <c r="N51" s="265">
        <v>1270</v>
      </c>
      <c r="O51" s="265"/>
      <c r="P51" s="997"/>
      <c r="Q51" s="265"/>
      <c r="R51" s="265"/>
      <c r="S51" s="265"/>
      <c r="T51" s="265">
        <v>3730</v>
      </c>
      <c r="U51" s="265"/>
      <c r="V51" s="265"/>
      <c r="W51" s="265"/>
      <c r="X51" s="997">
        <f t="shared" si="16"/>
        <v>5000</v>
      </c>
      <c r="Y51" s="997">
        <f t="shared" si="17"/>
        <v>0</v>
      </c>
      <c r="Z51" s="989">
        <f t="shared" si="22"/>
        <v>5000</v>
      </c>
      <c r="AA51" s="989">
        <f t="shared" si="23"/>
        <v>-833.33333333333303</v>
      </c>
      <c r="AB51" s="996">
        <f t="shared" si="24"/>
        <v>0</v>
      </c>
    </row>
    <row r="52" spans="1:28" x14ac:dyDescent="0.25">
      <c r="A52" s="383" t="s">
        <v>390</v>
      </c>
      <c r="B52" s="413"/>
      <c r="C52" s="52">
        <v>20000</v>
      </c>
      <c r="D52" s="720"/>
      <c r="E52" s="720"/>
      <c r="F52" s="720"/>
      <c r="G52" s="720"/>
      <c r="H52" s="720">
        <f t="shared" si="18"/>
        <v>20000</v>
      </c>
      <c r="I52" s="720">
        <f t="shared" si="19"/>
        <v>15000</v>
      </c>
      <c r="J52" s="720">
        <f t="shared" si="20"/>
        <v>1666.6666666666667</v>
      </c>
      <c r="K52" s="989">
        <f t="shared" si="21"/>
        <v>16666.666666666668</v>
      </c>
      <c r="L52" s="265"/>
      <c r="M52" s="265"/>
      <c r="N52" s="265">
        <v>8820</v>
      </c>
      <c r="O52" s="265"/>
      <c r="P52" s="997"/>
      <c r="Q52" s="265">
        <v>200</v>
      </c>
      <c r="R52" s="265">
        <v>750</v>
      </c>
      <c r="S52" s="265">
        <v>1600</v>
      </c>
      <c r="T52" s="265"/>
      <c r="U52" s="265"/>
      <c r="V52" s="265"/>
      <c r="W52" s="265"/>
      <c r="X52" s="997">
        <f t="shared" si="16"/>
        <v>11370</v>
      </c>
      <c r="Y52" s="997">
        <f t="shared" si="17"/>
        <v>0</v>
      </c>
      <c r="Z52" s="989">
        <f t="shared" si="22"/>
        <v>11370</v>
      </c>
      <c r="AA52" s="989">
        <f t="shared" si="23"/>
        <v>5296.6666666666679</v>
      </c>
      <c r="AB52" s="996">
        <f t="shared" si="24"/>
        <v>8630</v>
      </c>
    </row>
    <row r="53" spans="1:28" x14ac:dyDescent="0.25">
      <c r="A53" s="285" t="s">
        <v>686</v>
      </c>
      <c r="B53" s="413" t="s">
        <v>79</v>
      </c>
      <c r="C53" s="52"/>
      <c r="D53" s="720"/>
      <c r="E53" s="720"/>
      <c r="F53" s="720"/>
      <c r="G53" s="720"/>
      <c r="H53" s="720">
        <f t="shared" si="18"/>
        <v>0</v>
      </c>
      <c r="I53" s="720">
        <f t="shared" si="19"/>
        <v>0</v>
      </c>
      <c r="J53" s="720">
        <f t="shared" si="20"/>
        <v>0</v>
      </c>
      <c r="K53" s="989">
        <f t="shared" si="21"/>
        <v>0</v>
      </c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997">
        <f t="shared" si="16"/>
        <v>0</v>
      </c>
      <c r="Y53" s="997">
        <f t="shared" si="17"/>
        <v>0</v>
      </c>
      <c r="Z53" s="989">
        <f t="shared" si="22"/>
        <v>0</v>
      </c>
      <c r="AA53" s="989">
        <f t="shared" si="23"/>
        <v>0</v>
      </c>
      <c r="AB53" s="996">
        <f t="shared" si="24"/>
        <v>0</v>
      </c>
    </row>
    <row r="54" spans="1:28" x14ac:dyDescent="0.25">
      <c r="A54" s="179" t="s">
        <v>687</v>
      </c>
      <c r="B54" s="413"/>
      <c r="C54" s="52">
        <v>10000</v>
      </c>
      <c r="D54" s="720"/>
      <c r="E54" s="720"/>
      <c r="F54" s="720"/>
      <c r="G54" s="720"/>
      <c r="H54" s="720">
        <f t="shared" si="18"/>
        <v>10000</v>
      </c>
      <c r="I54" s="720">
        <f t="shared" si="19"/>
        <v>7500</v>
      </c>
      <c r="J54" s="720">
        <f t="shared" si="20"/>
        <v>833.33333333333337</v>
      </c>
      <c r="K54" s="989">
        <f t="shared" si="21"/>
        <v>8333.3333333333339</v>
      </c>
      <c r="L54" s="265"/>
      <c r="M54" s="265"/>
      <c r="N54" s="265">
        <v>405</v>
      </c>
      <c r="O54" s="265"/>
      <c r="P54" s="265"/>
      <c r="Q54" s="265"/>
      <c r="R54" s="265">
        <v>820</v>
      </c>
      <c r="S54" s="265"/>
      <c r="T54" s="265"/>
      <c r="U54" s="265"/>
      <c r="V54" s="265"/>
      <c r="W54" s="265"/>
      <c r="X54" s="997">
        <f t="shared" si="16"/>
        <v>1225</v>
      </c>
      <c r="Y54" s="997">
        <f t="shared" si="17"/>
        <v>0</v>
      </c>
      <c r="Z54" s="989">
        <f t="shared" si="22"/>
        <v>1225</v>
      </c>
      <c r="AA54" s="989">
        <f t="shared" si="23"/>
        <v>7108.3333333333339</v>
      </c>
      <c r="AB54" s="996">
        <f t="shared" si="24"/>
        <v>8775</v>
      </c>
    </row>
    <row r="55" spans="1:28" x14ac:dyDescent="0.25">
      <c r="A55" s="285" t="s">
        <v>257</v>
      </c>
      <c r="B55" s="413" t="s">
        <v>83</v>
      </c>
      <c r="C55" s="52">
        <v>3000</v>
      </c>
      <c r="D55" s="720"/>
      <c r="E55" s="720"/>
      <c r="F55" s="720"/>
      <c r="G55" s="720"/>
      <c r="H55" s="720">
        <f t="shared" si="18"/>
        <v>3000</v>
      </c>
      <c r="I55" s="720">
        <f t="shared" si="19"/>
        <v>2250</v>
      </c>
      <c r="J55" s="720">
        <f t="shared" si="20"/>
        <v>250</v>
      </c>
      <c r="K55" s="989">
        <f t="shared" si="21"/>
        <v>2500</v>
      </c>
      <c r="L55" s="265"/>
      <c r="M55" s="265"/>
      <c r="N55" s="265">
        <v>839.06</v>
      </c>
      <c r="O55" s="265"/>
      <c r="P55" s="265"/>
      <c r="Q55" s="265"/>
      <c r="R55" s="265"/>
      <c r="S55" s="265"/>
      <c r="T55" s="265"/>
      <c r="U55" s="265"/>
      <c r="V55" s="265"/>
      <c r="W55" s="265"/>
      <c r="X55" s="997">
        <f t="shared" si="16"/>
        <v>839.06</v>
      </c>
      <c r="Y55" s="997">
        <f t="shared" si="17"/>
        <v>0</v>
      </c>
      <c r="Z55" s="989">
        <f t="shared" si="22"/>
        <v>839.06</v>
      </c>
      <c r="AA55" s="989">
        <f t="shared" si="23"/>
        <v>1660.94</v>
      </c>
      <c r="AB55" s="996">
        <f t="shared" si="24"/>
        <v>2160.94</v>
      </c>
    </row>
    <row r="56" spans="1:28" x14ac:dyDescent="0.25">
      <c r="A56" s="53" t="s">
        <v>108</v>
      </c>
      <c r="B56" s="181"/>
      <c r="C56" s="123">
        <f>SUM(C33:C55)</f>
        <v>1296600</v>
      </c>
      <c r="D56" s="123">
        <f t="shared" ref="D56:Y56" si="27">SUM(D33:D55)</f>
        <v>0</v>
      </c>
      <c r="E56" s="123">
        <f t="shared" si="27"/>
        <v>20000</v>
      </c>
      <c r="F56" s="123">
        <f t="shared" si="27"/>
        <v>0</v>
      </c>
      <c r="G56" s="123">
        <f t="shared" si="27"/>
        <v>100000</v>
      </c>
      <c r="H56" s="123">
        <f t="shared" si="27"/>
        <v>1416600</v>
      </c>
      <c r="I56" s="720">
        <f t="shared" ref="I56" si="28">H56/12*8</f>
        <v>944400</v>
      </c>
      <c r="J56" s="123">
        <f t="shared" si="27"/>
        <v>118050</v>
      </c>
      <c r="K56" s="123">
        <f t="shared" si="27"/>
        <v>1180500.0000000002</v>
      </c>
      <c r="L56" s="123">
        <f t="shared" si="27"/>
        <v>43507.49</v>
      </c>
      <c r="M56" s="123">
        <f t="shared" si="27"/>
        <v>79405.429999999993</v>
      </c>
      <c r="N56" s="123">
        <f t="shared" si="27"/>
        <v>117100.35999999999</v>
      </c>
      <c r="O56" s="123">
        <f t="shared" si="27"/>
        <v>93040.36</v>
      </c>
      <c r="P56" s="123">
        <f t="shared" si="27"/>
        <v>73713.929999999993</v>
      </c>
      <c r="Q56" s="123">
        <f t="shared" si="27"/>
        <v>134780.84</v>
      </c>
      <c r="R56" s="123">
        <f t="shared" si="27"/>
        <v>125727.57</v>
      </c>
      <c r="S56" s="123">
        <f t="shared" si="27"/>
        <v>103432.01000000001</v>
      </c>
      <c r="T56" s="123">
        <f t="shared" si="27"/>
        <v>106236.32</v>
      </c>
      <c r="U56" s="123">
        <f t="shared" si="27"/>
        <v>67299.5</v>
      </c>
      <c r="V56" s="123">
        <f t="shared" si="27"/>
        <v>0</v>
      </c>
      <c r="W56" s="123">
        <f t="shared" si="27"/>
        <v>0</v>
      </c>
      <c r="X56" s="123">
        <f t="shared" si="27"/>
        <v>876944.31</v>
      </c>
      <c r="Y56" s="123">
        <f t="shared" si="27"/>
        <v>67299.5</v>
      </c>
      <c r="Z56" s="123">
        <f>SUM(Z33:Z55)</f>
        <v>944243.81</v>
      </c>
      <c r="AA56" s="123">
        <f t="shared" ref="AA56" si="29">SUM(AA33:AA55)</f>
        <v>236256.19</v>
      </c>
      <c r="AB56" s="123">
        <f>SUM(AB33:AB55)</f>
        <v>472356.19</v>
      </c>
    </row>
    <row r="57" spans="1:28" x14ac:dyDescent="0.25">
      <c r="A57" s="53" t="s">
        <v>230</v>
      </c>
      <c r="B57" s="181"/>
      <c r="C57" s="117"/>
      <c r="D57" s="117"/>
      <c r="E57" s="117"/>
      <c r="F57" s="117"/>
      <c r="G57" s="117"/>
      <c r="H57" s="117"/>
      <c r="I57" s="720">
        <f>H57</f>
        <v>0</v>
      </c>
      <c r="J57" s="117"/>
      <c r="K57" s="188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109"/>
      <c r="AA57" s="188"/>
      <c r="AB57" s="322">
        <f t="shared" ref="AB57:AB65" si="30">H57-Z57</f>
        <v>0</v>
      </c>
    </row>
    <row r="58" spans="1:28" x14ac:dyDescent="0.25">
      <c r="A58" s="53" t="s">
        <v>320</v>
      </c>
      <c r="B58" s="181"/>
      <c r="C58" s="117"/>
      <c r="D58" s="117"/>
      <c r="E58" s="117"/>
      <c r="F58" s="117"/>
      <c r="G58" s="117"/>
      <c r="H58" s="117"/>
      <c r="I58" s="720">
        <f t="shared" ref="I58:I65" si="31">H58</f>
        <v>0</v>
      </c>
      <c r="J58" s="117"/>
      <c r="K58" s="188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109"/>
      <c r="AA58" s="188"/>
      <c r="AB58" s="322">
        <f t="shared" si="30"/>
        <v>0</v>
      </c>
    </row>
    <row r="59" spans="1:28" x14ac:dyDescent="0.25">
      <c r="A59" s="905" t="s">
        <v>1118</v>
      </c>
      <c r="B59" s="67"/>
      <c r="C59" s="117"/>
      <c r="D59" s="117"/>
      <c r="E59" s="117"/>
      <c r="F59" s="117"/>
      <c r="G59" s="117"/>
      <c r="H59" s="720">
        <f t="shared" ref="H59:H65" si="32">SUM(C59:G59)</f>
        <v>0</v>
      </c>
      <c r="I59" s="720">
        <f t="shared" si="31"/>
        <v>0</v>
      </c>
      <c r="J59" s="117">
        <f>H59</f>
        <v>0</v>
      </c>
      <c r="K59" s="452">
        <f>H59</f>
        <v>0</v>
      </c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997">
        <f t="shared" ref="X59:X65" si="33">L59+M59+N59+O59+P59+Q59+R59+S59+T59</f>
        <v>0</v>
      </c>
      <c r="Y59" s="997">
        <f t="shared" ref="Y59:Y65" si="34">U59</f>
        <v>0</v>
      </c>
      <c r="Z59" s="109">
        <f t="shared" ref="Z59:Z65" si="35">X59+Y59</f>
        <v>0</v>
      </c>
      <c r="AA59" s="989">
        <f t="shared" ref="AA59:AA65" si="36">K59-Z59</f>
        <v>0</v>
      </c>
      <c r="AB59" s="996">
        <f t="shared" si="30"/>
        <v>0</v>
      </c>
    </row>
    <row r="60" spans="1:28" x14ac:dyDescent="0.25">
      <c r="A60" s="904" t="s">
        <v>1119</v>
      </c>
      <c r="B60" s="129"/>
      <c r="C60" s="117">
        <v>10050</v>
      </c>
      <c r="D60" s="117"/>
      <c r="E60" s="117"/>
      <c r="F60" s="117"/>
      <c r="G60" s="117"/>
      <c r="H60" s="720">
        <f t="shared" si="32"/>
        <v>10050</v>
      </c>
      <c r="I60" s="720">
        <f t="shared" si="31"/>
        <v>10050</v>
      </c>
      <c r="J60" s="720">
        <f t="shared" ref="J60:J65" si="37">H60</f>
        <v>10050</v>
      </c>
      <c r="K60" s="989">
        <f t="shared" ref="K60:K65" si="38">H60</f>
        <v>10050</v>
      </c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997">
        <f t="shared" si="33"/>
        <v>0</v>
      </c>
      <c r="Y60" s="997">
        <f t="shared" si="34"/>
        <v>0</v>
      </c>
      <c r="Z60" s="732">
        <f t="shared" si="35"/>
        <v>0</v>
      </c>
      <c r="AA60" s="989">
        <f t="shared" si="36"/>
        <v>10050</v>
      </c>
      <c r="AB60" s="996">
        <f t="shared" si="30"/>
        <v>10050</v>
      </c>
    </row>
    <row r="61" spans="1:28" s="712" customFormat="1" x14ac:dyDescent="0.25">
      <c r="A61" s="910" t="s">
        <v>1122</v>
      </c>
      <c r="B61" s="129"/>
      <c r="C61" s="117">
        <v>48000</v>
      </c>
      <c r="D61" s="117"/>
      <c r="E61" s="117"/>
      <c r="F61" s="117"/>
      <c r="G61" s="117"/>
      <c r="H61" s="720">
        <f t="shared" si="32"/>
        <v>48000</v>
      </c>
      <c r="I61" s="720">
        <f t="shared" si="31"/>
        <v>48000</v>
      </c>
      <c r="J61" s="720">
        <f t="shared" si="37"/>
        <v>48000</v>
      </c>
      <c r="K61" s="989">
        <f t="shared" si="38"/>
        <v>48000</v>
      </c>
      <c r="L61" s="695"/>
      <c r="M61" s="695"/>
      <c r="N61" s="695"/>
      <c r="O61" s="695"/>
      <c r="P61" s="695"/>
      <c r="Q61" s="695"/>
      <c r="R61" s="695"/>
      <c r="S61" s="695"/>
      <c r="T61" s="695">
        <v>47379</v>
      </c>
      <c r="U61" s="695"/>
      <c r="V61" s="695"/>
      <c r="W61" s="695"/>
      <c r="X61" s="997">
        <f t="shared" si="33"/>
        <v>47379</v>
      </c>
      <c r="Y61" s="997">
        <f t="shared" si="34"/>
        <v>0</v>
      </c>
      <c r="Z61" s="732">
        <f t="shared" si="35"/>
        <v>47379</v>
      </c>
      <c r="AA61" s="989">
        <f t="shared" si="36"/>
        <v>621</v>
      </c>
      <c r="AB61" s="996">
        <f t="shared" si="30"/>
        <v>621</v>
      </c>
    </row>
    <row r="62" spans="1:28" s="712" customFormat="1" x14ac:dyDescent="0.25">
      <c r="A62" s="908" t="s">
        <v>1120</v>
      </c>
      <c r="B62" s="909" t="s">
        <v>111</v>
      </c>
      <c r="C62" s="117"/>
      <c r="D62" s="117"/>
      <c r="E62" s="117"/>
      <c r="F62" s="117"/>
      <c r="G62" s="117"/>
      <c r="H62" s="720">
        <f t="shared" si="32"/>
        <v>0</v>
      </c>
      <c r="I62" s="720">
        <f t="shared" si="31"/>
        <v>0</v>
      </c>
      <c r="J62" s="720">
        <f t="shared" si="37"/>
        <v>0</v>
      </c>
      <c r="K62" s="989">
        <f t="shared" si="38"/>
        <v>0</v>
      </c>
      <c r="L62" s="695"/>
      <c r="M62" s="695"/>
      <c r="N62" s="695"/>
      <c r="O62" s="695"/>
      <c r="P62" s="695"/>
      <c r="Q62" s="695"/>
      <c r="R62" s="695"/>
      <c r="S62" s="695"/>
      <c r="T62" s="695"/>
      <c r="U62" s="695"/>
      <c r="V62" s="695"/>
      <c r="W62" s="695"/>
      <c r="X62" s="997">
        <f t="shared" si="33"/>
        <v>0</v>
      </c>
      <c r="Y62" s="997">
        <f t="shared" si="34"/>
        <v>0</v>
      </c>
      <c r="Z62" s="732">
        <f t="shared" si="35"/>
        <v>0</v>
      </c>
      <c r="AA62" s="989">
        <f t="shared" si="36"/>
        <v>0</v>
      </c>
      <c r="AB62" s="996">
        <f t="shared" si="30"/>
        <v>0</v>
      </c>
    </row>
    <row r="63" spans="1:28" s="712" customFormat="1" x14ac:dyDescent="0.25">
      <c r="A63" s="906" t="s">
        <v>1121</v>
      </c>
      <c r="B63" s="907"/>
      <c r="C63" s="117">
        <v>3750</v>
      </c>
      <c r="D63" s="117">
        <f>-3750</f>
        <v>-3750</v>
      </c>
      <c r="E63" s="117"/>
      <c r="F63" s="117"/>
      <c r="G63" s="117"/>
      <c r="H63" s="720">
        <f t="shared" si="32"/>
        <v>0</v>
      </c>
      <c r="I63" s="720">
        <f t="shared" si="31"/>
        <v>0</v>
      </c>
      <c r="J63" s="720">
        <f t="shared" si="37"/>
        <v>0</v>
      </c>
      <c r="K63" s="989">
        <f t="shared" si="38"/>
        <v>0</v>
      </c>
      <c r="L63" s="695"/>
      <c r="M63" s="695"/>
      <c r="N63" s="695"/>
      <c r="O63" s="695"/>
      <c r="P63" s="695"/>
      <c r="Q63" s="695"/>
      <c r="R63" s="695"/>
      <c r="S63" s="695"/>
      <c r="T63" s="695"/>
      <c r="U63" s="695"/>
      <c r="V63" s="695"/>
      <c r="W63" s="695"/>
      <c r="X63" s="997">
        <f t="shared" si="33"/>
        <v>0</v>
      </c>
      <c r="Y63" s="997">
        <f t="shared" si="34"/>
        <v>0</v>
      </c>
      <c r="Z63" s="732">
        <f t="shared" si="35"/>
        <v>0</v>
      </c>
      <c r="AA63" s="989">
        <f t="shared" si="36"/>
        <v>0</v>
      </c>
      <c r="AB63" s="996">
        <f t="shared" si="30"/>
        <v>0</v>
      </c>
    </row>
    <row r="64" spans="1:28" s="712" customFormat="1" x14ac:dyDescent="0.25">
      <c r="A64" s="911" t="s">
        <v>1123</v>
      </c>
      <c r="B64" s="129"/>
      <c r="C64" s="117"/>
      <c r="D64" s="117"/>
      <c r="E64" s="117"/>
      <c r="F64" s="117"/>
      <c r="G64" s="117"/>
      <c r="H64" s="720">
        <f t="shared" si="32"/>
        <v>0</v>
      </c>
      <c r="I64" s="720">
        <f t="shared" si="31"/>
        <v>0</v>
      </c>
      <c r="J64" s="720">
        <f t="shared" si="37"/>
        <v>0</v>
      </c>
      <c r="K64" s="989">
        <f t="shared" si="38"/>
        <v>0</v>
      </c>
      <c r="L64" s="695"/>
      <c r="M64" s="695"/>
      <c r="N64" s="695"/>
      <c r="O64" s="695"/>
      <c r="P64" s="695"/>
      <c r="Q64" s="695"/>
      <c r="R64" s="695"/>
      <c r="S64" s="695"/>
      <c r="T64" s="695"/>
      <c r="U64" s="695"/>
      <c r="V64" s="695"/>
      <c r="W64" s="695"/>
      <c r="X64" s="997">
        <f t="shared" si="33"/>
        <v>0</v>
      </c>
      <c r="Y64" s="997">
        <f t="shared" si="34"/>
        <v>0</v>
      </c>
      <c r="Z64" s="732">
        <f t="shared" si="35"/>
        <v>0</v>
      </c>
      <c r="AA64" s="989">
        <f t="shared" si="36"/>
        <v>0</v>
      </c>
      <c r="AB64" s="996">
        <f t="shared" si="30"/>
        <v>0</v>
      </c>
    </row>
    <row r="65" spans="1:28" s="712" customFormat="1" x14ac:dyDescent="0.25">
      <c r="A65" s="912" t="s">
        <v>1124</v>
      </c>
      <c r="B65" s="129"/>
      <c r="C65" s="117">
        <v>30000</v>
      </c>
      <c r="D65" s="117">
        <f>-30000</f>
        <v>-30000</v>
      </c>
      <c r="E65" s="117"/>
      <c r="F65" s="117"/>
      <c r="G65" s="117"/>
      <c r="H65" s="720">
        <f t="shared" si="32"/>
        <v>0</v>
      </c>
      <c r="I65" s="720">
        <f t="shared" si="31"/>
        <v>0</v>
      </c>
      <c r="J65" s="720">
        <f t="shared" si="37"/>
        <v>0</v>
      </c>
      <c r="K65" s="989">
        <f t="shared" si="38"/>
        <v>0</v>
      </c>
      <c r="L65" s="695"/>
      <c r="M65" s="695"/>
      <c r="N65" s="695"/>
      <c r="O65" s="695"/>
      <c r="P65" s="695"/>
      <c r="Q65" s="695"/>
      <c r="R65" s="695"/>
      <c r="S65" s="695"/>
      <c r="T65" s="695"/>
      <c r="U65" s="695"/>
      <c r="V65" s="695"/>
      <c r="W65" s="695"/>
      <c r="X65" s="997">
        <f t="shared" si="33"/>
        <v>0</v>
      </c>
      <c r="Y65" s="997">
        <f t="shared" si="34"/>
        <v>0</v>
      </c>
      <c r="Z65" s="732">
        <f t="shared" si="35"/>
        <v>0</v>
      </c>
      <c r="AA65" s="989">
        <f t="shared" si="36"/>
        <v>0</v>
      </c>
      <c r="AB65" s="996">
        <f t="shared" si="30"/>
        <v>0</v>
      </c>
    </row>
    <row r="66" spans="1:28" x14ac:dyDescent="0.25">
      <c r="A66" s="53" t="s">
        <v>333</v>
      </c>
      <c r="B66" s="181"/>
      <c r="C66" s="123">
        <f>SUM(C59:C65)</f>
        <v>91800</v>
      </c>
      <c r="D66" s="123">
        <f t="shared" ref="D66:AB66" si="39">SUM(D59:D65)</f>
        <v>-33750</v>
      </c>
      <c r="E66" s="123">
        <f t="shared" si="39"/>
        <v>0</v>
      </c>
      <c r="F66" s="123">
        <f t="shared" si="39"/>
        <v>0</v>
      </c>
      <c r="G66" s="123">
        <f t="shared" si="39"/>
        <v>0</v>
      </c>
      <c r="H66" s="123">
        <f t="shared" si="39"/>
        <v>58050</v>
      </c>
      <c r="I66" s="123">
        <f t="shared" si="39"/>
        <v>58050</v>
      </c>
      <c r="J66" s="123">
        <f t="shared" si="39"/>
        <v>58050</v>
      </c>
      <c r="K66" s="123">
        <f t="shared" si="39"/>
        <v>58050</v>
      </c>
      <c r="L66" s="123">
        <f t="shared" si="39"/>
        <v>0</v>
      </c>
      <c r="M66" s="123">
        <f t="shared" si="39"/>
        <v>0</v>
      </c>
      <c r="N66" s="123">
        <f t="shared" si="39"/>
        <v>0</v>
      </c>
      <c r="O66" s="123">
        <f t="shared" si="39"/>
        <v>0</v>
      </c>
      <c r="P66" s="123">
        <f t="shared" si="39"/>
        <v>0</v>
      </c>
      <c r="Q66" s="123">
        <f t="shared" si="39"/>
        <v>0</v>
      </c>
      <c r="R66" s="123">
        <f t="shared" si="39"/>
        <v>0</v>
      </c>
      <c r="S66" s="123">
        <f t="shared" si="39"/>
        <v>0</v>
      </c>
      <c r="T66" s="123">
        <f t="shared" si="39"/>
        <v>47379</v>
      </c>
      <c r="U66" s="123">
        <f t="shared" si="39"/>
        <v>0</v>
      </c>
      <c r="V66" s="123">
        <f t="shared" si="39"/>
        <v>0</v>
      </c>
      <c r="W66" s="123">
        <f t="shared" si="39"/>
        <v>0</v>
      </c>
      <c r="X66" s="997">
        <f t="shared" ref="X66" si="40">L66+M66+N66+O66+P66+Q66+R66+S66</f>
        <v>0</v>
      </c>
      <c r="Y66" s="997">
        <f t="shared" ref="Y66" si="41">T66</f>
        <v>47379</v>
      </c>
      <c r="Z66" s="123">
        <f t="shared" si="39"/>
        <v>47379</v>
      </c>
      <c r="AA66" s="123">
        <f t="shared" si="39"/>
        <v>10671</v>
      </c>
      <c r="AB66" s="123">
        <f t="shared" si="39"/>
        <v>10671</v>
      </c>
    </row>
    <row r="67" spans="1:28" x14ac:dyDescent="0.25">
      <c r="A67" s="53" t="s">
        <v>329</v>
      </c>
      <c r="B67" s="181"/>
      <c r="C67" s="117"/>
      <c r="D67" s="117"/>
      <c r="E67" s="117"/>
      <c r="F67" s="117"/>
      <c r="G67" s="117"/>
      <c r="H67" s="117"/>
      <c r="I67" s="117"/>
      <c r="J67" s="117"/>
      <c r="K67" s="188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997">
        <f t="shared" ref="X67:X74" si="42">L67+M67+N67+O67+P67+Q67+R67+S67+T67</f>
        <v>0</v>
      </c>
      <c r="Y67" s="997">
        <f t="shared" ref="Y67:Y74" si="43">U67</f>
        <v>0</v>
      </c>
      <c r="Z67" s="109"/>
      <c r="AA67" s="188"/>
      <c r="AB67" s="188"/>
    </row>
    <row r="68" spans="1:28" x14ac:dyDescent="0.25">
      <c r="A68" s="457" t="s">
        <v>110</v>
      </c>
      <c r="B68" s="445" t="s">
        <v>111</v>
      </c>
      <c r="C68" s="117"/>
      <c r="D68" s="117"/>
      <c r="E68" s="117"/>
      <c r="F68" s="117"/>
      <c r="G68" s="117"/>
      <c r="H68" s="117"/>
      <c r="I68" s="117"/>
      <c r="J68" s="117"/>
      <c r="K68" s="188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997">
        <f t="shared" si="42"/>
        <v>0</v>
      </c>
      <c r="Y68" s="997">
        <f t="shared" si="43"/>
        <v>0</v>
      </c>
      <c r="Z68" s="109"/>
      <c r="AA68" s="188"/>
      <c r="AB68" s="188"/>
    </row>
    <row r="69" spans="1:28" x14ac:dyDescent="0.25">
      <c r="A69" s="235" t="s">
        <v>688</v>
      </c>
      <c r="B69" s="179"/>
      <c r="C69" s="52">
        <v>7000</v>
      </c>
      <c r="D69" s="720"/>
      <c r="E69" s="720"/>
      <c r="F69" s="720"/>
      <c r="G69" s="720"/>
      <c r="H69" s="720">
        <f t="shared" ref="H69:H74" si="44">SUM(C69:G69)</f>
        <v>7000</v>
      </c>
      <c r="I69" s="117">
        <f t="shared" ref="I69:I74" si="45">H69</f>
        <v>7000</v>
      </c>
      <c r="J69" s="52">
        <f t="shared" ref="J69:J70" si="46">H69</f>
        <v>7000</v>
      </c>
      <c r="K69" s="40">
        <f t="shared" ref="K69:K70" si="47">H69</f>
        <v>7000</v>
      </c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997">
        <f t="shared" si="42"/>
        <v>0</v>
      </c>
      <c r="Y69" s="997">
        <f t="shared" si="43"/>
        <v>0</v>
      </c>
      <c r="Z69" s="109">
        <f t="shared" ref="Z69:Z74" si="48">X69+Y69</f>
        <v>0</v>
      </c>
      <c r="AA69" s="989">
        <f t="shared" ref="AA69:AA74" si="49">K69-Z69</f>
        <v>7000</v>
      </c>
      <c r="AB69" s="996">
        <f t="shared" ref="AB69:AB74" si="50">H69-Z69</f>
        <v>7000</v>
      </c>
    </row>
    <row r="70" spans="1:28" x14ac:dyDescent="0.25">
      <c r="A70" s="235" t="s">
        <v>689</v>
      </c>
      <c r="B70" s="445" t="s">
        <v>111</v>
      </c>
      <c r="C70" s="52">
        <v>3000</v>
      </c>
      <c r="D70" s="720"/>
      <c r="E70" s="720"/>
      <c r="F70" s="720"/>
      <c r="G70" s="720"/>
      <c r="H70" s="720">
        <f t="shared" si="44"/>
        <v>3000</v>
      </c>
      <c r="I70" s="117">
        <f t="shared" si="45"/>
        <v>3000</v>
      </c>
      <c r="J70" s="52">
        <f t="shared" si="46"/>
        <v>3000</v>
      </c>
      <c r="K70" s="40">
        <f t="shared" si="47"/>
        <v>3000</v>
      </c>
      <c r="L70" s="265"/>
      <c r="M70" s="265"/>
      <c r="N70" s="265">
        <v>2895</v>
      </c>
      <c r="O70" s="265"/>
      <c r="P70" s="265"/>
      <c r="Q70" s="265"/>
      <c r="R70" s="265"/>
      <c r="S70" s="265"/>
      <c r="T70" s="265"/>
      <c r="U70" s="265"/>
      <c r="V70" s="265"/>
      <c r="W70" s="265"/>
      <c r="X70" s="997">
        <f t="shared" si="42"/>
        <v>2895</v>
      </c>
      <c r="Y70" s="997">
        <f t="shared" si="43"/>
        <v>0</v>
      </c>
      <c r="Z70" s="109">
        <f t="shared" ref="Z70:Z71" si="51">X70+Y70</f>
        <v>2895</v>
      </c>
      <c r="AA70" s="989">
        <f t="shared" si="49"/>
        <v>105</v>
      </c>
      <c r="AB70" s="996">
        <f t="shared" si="50"/>
        <v>105</v>
      </c>
    </row>
    <row r="71" spans="1:28" x14ac:dyDescent="0.25">
      <c r="A71" s="201" t="s">
        <v>241</v>
      </c>
      <c r="B71" s="458" t="s">
        <v>116</v>
      </c>
      <c r="C71" s="52"/>
      <c r="D71" s="720"/>
      <c r="E71" s="720"/>
      <c r="F71" s="720"/>
      <c r="G71" s="720">
        <v>25000</v>
      </c>
      <c r="H71" s="720">
        <f t="shared" si="44"/>
        <v>25000</v>
      </c>
      <c r="I71" s="117">
        <f>H71</f>
        <v>25000</v>
      </c>
      <c r="J71" s="720">
        <f t="shared" ref="J71" si="52">H71</f>
        <v>25000</v>
      </c>
      <c r="K71" s="989">
        <f t="shared" ref="K71" si="53">H71</f>
        <v>25000</v>
      </c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997">
        <f t="shared" si="42"/>
        <v>0</v>
      </c>
      <c r="Y71" s="997">
        <f t="shared" si="43"/>
        <v>0</v>
      </c>
      <c r="Z71" s="109">
        <f t="shared" si="51"/>
        <v>0</v>
      </c>
      <c r="AA71" s="989">
        <f t="shared" si="49"/>
        <v>25000</v>
      </c>
      <c r="AB71" s="996">
        <f t="shared" si="50"/>
        <v>25000</v>
      </c>
    </row>
    <row r="72" spans="1:28" x14ac:dyDescent="0.25">
      <c r="A72" s="235" t="s">
        <v>690</v>
      </c>
      <c r="B72" s="54"/>
      <c r="C72" s="52">
        <v>15000</v>
      </c>
      <c r="D72" s="720"/>
      <c r="E72" s="720"/>
      <c r="F72" s="720"/>
      <c r="G72" s="720"/>
      <c r="H72" s="720">
        <f t="shared" si="44"/>
        <v>15000</v>
      </c>
      <c r="I72" s="117">
        <f t="shared" si="45"/>
        <v>15000</v>
      </c>
      <c r="J72" s="52">
        <f>H72</f>
        <v>15000</v>
      </c>
      <c r="K72" s="40">
        <f>H72</f>
        <v>15000</v>
      </c>
      <c r="L72" s="265"/>
      <c r="M72" s="265"/>
      <c r="N72" s="265"/>
      <c r="O72" s="265"/>
      <c r="P72" s="265"/>
      <c r="Q72" s="265"/>
      <c r="R72" s="265"/>
      <c r="S72" s="265">
        <v>10500</v>
      </c>
      <c r="T72" s="265"/>
      <c r="U72" s="265"/>
      <c r="V72" s="265"/>
      <c r="W72" s="265"/>
      <c r="X72" s="997">
        <f t="shared" si="42"/>
        <v>10500</v>
      </c>
      <c r="Y72" s="997">
        <f t="shared" si="43"/>
        <v>0</v>
      </c>
      <c r="Z72" s="109">
        <f t="shared" si="48"/>
        <v>10500</v>
      </c>
      <c r="AA72" s="989">
        <f t="shared" si="49"/>
        <v>4500</v>
      </c>
      <c r="AB72" s="996">
        <f t="shared" si="50"/>
        <v>4500</v>
      </c>
    </row>
    <row r="73" spans="1:28" x14ac:dyDescent="0.25">
      <c r="A73" s="235" t="s">
        <v>691</v>
      </c>
      <c r="B73" s="54"/>
      <c r="C73" s="52">
        <v>20000</v>
      </c>
      <c r="D73" s="720"/>
      <c r="E73" s="720"/>
      <c r="F73" s="720"/>
      <c r="G73" s="720"/>
      <c r="H73" s="720">
        <f t="shared" si="44"/>
        <v>20000</v>
      </c>
      <c r="I73" s="117">
        <f t="shared" si="45"/>
        <v>20000</v>
      </c>
      <c r="J73" s="52">
        <f t="shared" ref="J73:J74" si="54">H73</f>
        <v>20000</v>
      </c>
      <c r="K73" s="40">
        <f t="shared" ref="K73:K74" si="55">H73</f>
        <v>20000</v>
      </c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997">
        <f t="shared" si="42"/>
        <v>0</v>
      </c>
      <c r="Y73" s="997">
        <f t="shared" si="43"/>
        <v>0</v>
      </c>
      <c r="Z73" s="109">
        <f t="shared" si="48"/>
        <v>0</v>
      </c>
      <c r="AA73" s="989">
        <f t="shared" si="49"/>
        <v>20000</v>
      </c>
      <c r="AB73" s="996">
        <f t="shared" si="50"/>
        <v>20000</v>
      </c>
    </row>
    <row r="74" spans="1:28" x14ac:dyDescent="0.25">
      <c r="A74" s="235" t="s">
        <v>692</v>
      </c>
      <c r="B74" s="54"/>
      <c r="C74" s="52">
        <v>18000</v>
      </c>
      <c r="D74" s="720"/>
      <c r="E74" s="720"/>
      <c r="F74" s="720"/>
      <c r="G74" s="720"/>
      <c r="H74" s="720">
        <f t="shared" si="44"/>
        <v>18000</v>
      </c>
      <c r="I74" s="117">
        <f t="shared" si="45"/>
        <v>18000</v>
      </c>
      <c r="J74" s="52">
        <f t="shared" si="54"/>
        <v>18000</v>
      </c>
      <c r="K74" s="40">
        <f t="shared" si="55"/>
        <v>18000</v>
      </c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997">
        <f t="shared" si="42"/>
        <v>0</v>
      </c>
      <c r="Y74" s="997">
        <f t="shared" si="43"/>
        <v>0</v>
      </c>
      <c r="Z74" s="109">
        <f t="shared" si="48"/>
        <v>0</v>
      </c>
      <c r="AA74" s="989">
        <f t="shared" si="49"/>
        <v>18000</v>
      </c>
      <c r="AB74" s="996">
        <f t="shared" si="50"/>
        <v>18000</v>
      </c>
    </row>
    <row r="75" spans="1:28" x14ac:dyDescent="0.25">
      <c r="A75" s="53" t="s">
        <v>334</v>
      </c>
      <c r="B75" s="53"/>
      <c r="C75" s="123">
        <f>SUM(C69:C74)</f>
        <v>63000</v>
      </c>
      <c r="D75" s="123">
        <f t="shared" ref="D75:Z75" si="56">SUM(D69:D74)</f>
        <v>0</v>
      </c>
      <c r="E75" s="123">
        <f t="shared" ref="E75:G75" si="57">SUM(E69:E74)</f>
        <v>0</v>
      </c>
      <c r="F75" s="123">
        <f t="shared" ref="F75" si="58">SUM(F69:F74)</f>
        <v>0</v>
      </c>
      <c r="G75" s="123">
        <f t="shared" si="57"/>
        <v>25000</v>
      </c>
      <c r="H75" s="123">
        <f t="shared" si="56"/>
        <v>88000</v>
      </c>
      <c r="I75" s="123">
        <f t="shared" si="56"/>
        <v>88000</v>
      </c>
      <c r="J75" s="123">
        <f t="shared" si="56"/>
        <v>88000</v>
      </c>
      <c r="K75" s="123">
        <f t="shared" si="56"/>
        <v>88000</v>
      </c>
      <c r="L75" s="123">
        <f t="shared" si="56"/>
        <v>0</v>
      </c>
      <c r="M75" s="123">
        <f t="shared" si="56"/>
        <v>0</v>
      </c>
      <c r="N75" s="123">
        <f t="shared" si="56"/>
        <v>2895</v>
      </c>
      <c r="O75" s="123">
        <f t="shared" si="56"/>
        <v>0</v>
      </c>
      <c r="P75" s="123">
        <f t="shared" si="56"/>
        <v>0</v>
      </c>
      <c r="Q75" s="123">
        <f t="shared" si="56"/>
        <v>0</v>
      </c>
      <c r="R75" s="123">
        <f t="shared" si="56"/>
        <v>0</v>
      </c>
      <c r="S75" s="123">
        <f t="shared" si="56"/>
        <v>10500</v>
      </c>
      <c r="T75" s="123">
        <f t="shared" si="56"/>
        <v>0</v>
      </c>
      <c r="U75" s="123">
        <f t="shared" si="56"/>
        <v>0</v>
      </c>
      <c r="V75" s="123">
        <f t="shared" si="56"/>
        <v>0</v>
      </c>
      <c r="W75" s="123">
        <f t="shared" si="56"/>
        <v>0</v>
      </c>
      <c r="X75" s="123">
        <f t="shared" si="56"/>
        <v>13395</v>
      </c>
      <c r="Y75" s="123">
        <f t="shared" si="56"/>
        <v>0</v>
      </c>
      <c r="Z75" s="123">
        <f t="shared" si="56"/>
        <v>13395</v>
      </c>
      <c r="AA75" s="123">
        <f>SUM(AA69:AA74)</f>
        <v>74605</v>
      </c>
      <c r="AB75" s="123">
        <f>SUM(AB69:AB74)</f>
        <v>74605</v>
      </c>
    </row>
    <row r="76" spans="1:28" x14ac:dyDescent="0.25">
      <c r="A76" s="53" t="s">
        <v>335</v>
      </c>
      <c r="B76" s="53"/>
      <c r="C76" s="123">
        <f>C66+C75</f>
        <v>154800</v>
      </c>
      <c r="D76" s="123">
        <f t="shared" ref="D76:AB76" si="59">D66+D75</f>
        <v>-33750</v>
      </c>
      <c r="E76" s="123">
        <f t="shared" ref="E76:G76" si="60">E66+E75</f>
        <v>0</v>
      </c>
      <c r="F76" s="123">
        <f t="shared" ref="F76" si="61">F66+F75</f>
        <v>0</v>
      </c>
      <c r="G76" s="123">
        <f t="shared" si="60"/>
        <v>25000</v>
      </c>
      <c r="H76" s="123">
        <f t="shared" si="59"/>
        <v>146050</v>
      </c>
      <c r="I76" s="123">
        <f t="shared" si="59"/>
        <v>146050</v>
      </c>
      <c r="J76" s="123">
        <f t="shared" si="59"/>
        <v>146050</v>
      </c>
      <c r="K76" s="123">
        <f t="shared" si="59"/>
        <v>146050</v>
      </c>
      <c r="L76" s="123">
        <f t="shared" si="59"/>
        <v>0</v>
      </c>
      <c r="M76" s="123">
        <f t="shared" si="59"/>
        <v>0</v>
      </c>
      <c r="N76" s="123">
        <f t="shared" si="59"/>
        <v>2895</v>
      </c>
      <c r="O76" s="123">
        <f t="shared" si="59"/>
        <v>0</v>
      </c>
      <c r="P76" s="123">
        <f t="shared" si="59"/>
        <v>0</v>
      </c>
      <c r="Q76" s="123">
        <f t="shared" si="59"/>
        <v>0</v>
      </c>
      <c r="R76" s="123">
        <f t="shared" si="59"/>
        <v>0</v>
      </c>
      <c r="S76" s="123">
        <f t="shared" si="59"/>
        <v>10500</v>
      </c>
      <c r="T76" s="123">
        <f t="shared" si="59"/>
        <v>47379</v>
      </c>
      <c r="U76" s="123">
        <f t="shared" si="59"/>
        <v>0</v>
      </c>
      <c r="V76" s="123">
        <f t="shared" si="59"/>
        <v>0</v>
      </c>
      <c r="W76" s="123">
        <f t="shared" si="59"/>
        <v>0</v>
      </c>
      <c r="X76" s="123">
        <f t="shared" si="59"/>
        <v>13395</v>
      </c>
      <c r="Y76" s="123">
        <f t="shared" si="59"/>
        <v>47379</v>
      </c>
      <c r="Z76" s="123">
        <f t="shared" si="59"/>
        <v>60774</v>
      </c>
      <c r="AA76" s="123">
        <f>AA66+AA75</f>
        <v>85276</v>
      </c>
      <c r="AB76" s="123">
        <f t="shared" si="59"/>
        <v>85276</v>
      </c>
    </row>
    <row r="77" spans="1:28" ht="15.75" thickBot="1" x14ac:dyDescent="0.3">
      <c r="A77" s="105" t="s">
        <v>160</v>
      </c>
      <c r="B77" s="183"/>
      <c r="C77" s="364">
        <f>C30+C56+C76</f>
        <v>4035853.73</v>
      </c>
      <c r="D77" s="364">
        <f t="shared" ref="D77:AB77" si="62">D30+D56+D76</f>
        <v>-33750</v>
      </c>
      <c r="E77" s="364">
        <f t="shared" ref="E77:G77" si="63">E30+E56+E76</f>
        <v>20000</v>
      </c>
      <c r="F77" s="364">
        <f t="shared" ref="F77" si="64">F30+F56+F76</f>
        <v>0</v>
      </c>
      <c r="G77" s="364">
        <f t="shared" si="63"/>
        <v>125000</v>
      </c>
      <c r="H77" s="364">
        <f t="shared" si="62"/>
        <v>4147103.73</v>
      </c>
      <c r="I77" s="364">
        <f t="shared" si="62"/>
        <v>3032790.2974999999</v>
      </c>
      <c r="J77" s="364">
        <f t="shared" si="62"/>
        <v>479471.14416666661</v>
      </c>
      <c r="K77" s="364">
        <f t="shared" si="62"/>
        <v>3484261.4416666673</v>
      </c>
      <c r="L77" s="364">
        <f t="shared" si="62"/>
        <v>238628.22999999998</v>
      </c>
      <c r="M77" s="364">
        <f t="shared" si="62"/>
        <v>259072.16999999998</v>
      </c>
      <c r="N77" s="364">
        <f t="shared" si="62"/>
        <v>299662.09999999998</v>
      </c>
      <c r="O77" s="364">
        <f t="shared" si="62"/>
        <v>296524.98</v>
      </c>
      <c r="P77" s="364">
        <f t="shared" si="62"/>
        <v>402691.93</v>
      </c>
      <c r="Q77" s="364">
        <f t="shared" si="62"/>
        <v>320443.83999999997</v>
      </c>
      <c r="R77" s="364">
        <f t="shared" si="62"/>
        <v>311390.56999999995</v>
      </c>
      <c r="S77" s="364">
        <f t="shared" si="62"/>
        <v>299595.01</v>
      </c>
      <c r="T77" s="364">
        <f t="shared" si="62"/>
        <v>339278.31999999995</v>
      </c>
      <c r="U77" s="364">
        <f t="shared" si="62"/>
        <v>256262.49999999997</v>
      </c>
      <c r="V77" s="364">
        <f t="shared" si="62"/>
        <v>0</v>
      </c>
      <c r="W77" s="364">
        <f t="shared" si="62"/>
        <v>0</v>
      </c>
      <c r="X77" s="364">
        <f t="shared" si="62"/>
        <v>2719908.1500000004</v>
      </c>
      <c r="Y77" s="364">
        <f t="shared" si="62"/>
        <v>303641.5</v>
      </c>
      <c r="Z77" s="364">
        <f t="shared" si="62"/>
        <v>3023549.65</v>
      </c>
      <c r="AA77" s="364">
        <f t="shared" si="62"/>
        <v>460711.79166666669</v>
      </c>
      <c r="AB77" s="364">
        <f t="shared" si="62"/>
        <v>1123554.08</v>
      </c>
    </row>
    <row r="78" spans="1:28" ht="15.75" thickTop="1" x14ac:dyDescent="0.25">
      <c r="A78" s="3"/>
      <c r="B78" s="261"/>
      <c r="C78" s="453"/>
      <c r="D78" s="453"/>
      <c r="E78" s="453"/>
      <c r="F78" s="453"/>
      <c r="G78" s="453"/>
      <c r="H78" s="453"/>
      <c r="I78" s="453"/>
      <c r="J78" s="453"/>
      <c r="K78" s="453"/>
      <c r="L78" s="454"/>
      <c r="M78" s="454"/>
      <c r="N78" s="454"/>
      <c r="O78" s="454"/>
      <c r="P78" s="454"/>
      <c r="Q78" s="454"/>
      <c r="R78" s="454"/>
      <c r="S78" s="454"/>
      <c r="T78" s="454"/>
      <c r="U78" s="454"/>
      <c r="V78" s="454"/>
      <c r="W78" s="454"/>
      <c r="X78" s="454"/>
      <c r="Y78" s="454"/>
      <c r="Z78" s="453"/>
      <c r="AA78" s="453"/>
      <c r="AB78" s="453"/>
    </row>
    <row r="79" spans="1:28" x14ac:dyDescent="0.25">
      <c r="A79" s="21" t="s">
        <v>354</v>
      </c>
      <c r="B79" s="30"/>
      <c r="C79" s="35"/>
      <c r="D79" s="35"/>
      <c r="E79" s="35"/>
      <c r="F79" s="35"/>
      <c r="G79" s="35"/>
      <c r="H79" s="35"/>
      <c r="I79" s="35"/>
      <c r="J79" s="35"/>
      <c r="AA79" s="259" t="s">
        <v>357</v>
      </c>
    </row>
    <row r="80" spans="1:28" s="712" customFormat="1" x14ac:dyDescent="0.25">
      <c r="B80" s="30"/>
      <c r="C80" s="35"/>
      <c r="D80" s="35"/>
      <c r="E80" s="35"/>
      <c r="F80" s="35"/>
      <c r="G80" s="35"/>
      <c r="H80" s="35"/>
      <c r="I80" s="35"/>
      <c r="J80" s="35"/>
      <c r="L80" s="303"/>
      <c r="M80" s="303"/>
      <c r="N80" s="303"/>
      <c r="O80" s="303"/>
      <c r="P80" s="303"/>
      <c r="Q80" s="303"/>
      <c r="R80" s="303"/>
      <c r="S80" s="303"/>
      <c r="T80" s="303"/>
      <c r="U80" s="303"/>
      <c r="V80" s="303"/>
      <c r="W80" s="303"/>
      <c r="X80" s="303"/>
      <c r="Y80" s="303"/>
      <c r="AA80" s="743"/>
    </row>
    <row r="81" spans="1:28" x14ac:dyDescent="0.25">
      <c r="B81" s="32"/>
      <c r="C81" s="36"/>
      <c r="D81" s="36"/>
      <c r="E81" s="36"/>
      <c r="F81" s="36"/>
      <c r="G81" s="36"/>
      <c r="H81" s="36"/>
      <c r="I81" s="36"/>
      <c r="J81" s="36"/>
    </row>
    <row r="82" spans="1:28" x14ac:dyDescent="0.25">
      <c r="A82" s="258" t="s">
        <v>355</v>
      </c>
      <c r="B82" s="14"/>
      <c r="C82" s="31"/>
      <c r="D82" s="31"/>
      <c r="E82" s="31"/>
      <c r="F82" s="31"/>
      <c r="G82" s="31"/>
      <c r="H82" s="31"/>
      <c r="I82" s="31"/>
      <c r="J82" s="31"/>
      <c r="AA82" s="260" t="s">
        <v>358</v>
      </c>
    </row>
    <row r="83" spans="1:28" x14ac:dyDescent="0.25">
      <c r="A83" s="259" t="s">
        <v>356</v>
      </c>
      <c r="AA83" s="259" t="s">
        <v>359</v>
      </c>
    </row>
    <row r="84" spans="1:28" x14ac:dyDescent="0.25">
      <c r="A84" s="3"/>
      <c r="B84" s="261"/>
      <c r="C84" s="453"/>
      <c r="D84" s="453"/>
      <c r="E84" s="453"/>
      <c r="F84" s="453"/>
      <c r="G84" s="453"/>
      <c r="H84" s="453"/>
      <c r="I84" s="453"/>
      <c r="J84" s="453"/>
      <c r="K84" s="453"/>
      <c r="L84" s="454"/>
      <c r="M84" s="454"/>
      <c r="N84" s="454"/>
      <c r="O84" s="454"/>
      <c r="P84" s="454"/>
      <c r="Q84" s="454"/>
      <c r="R84" s="454"/>
      <c r="S84" s="454"/>
      <c r="T84" s="454"/>
      <c r="U84" s="454"/>
      <c r="V84" s="454"/>
      <c r="W84" s="454"/>
      <c r="X84" s="454"/>
      <c r="Y84" s="454"/>
      <c r="Z84" s="453"/>
      <c r="AA84" s="453"/>
      <c r="AB84" s="453"/>
    </row>
    <row r="85" spans="1:28" x14ac:dyDescent="0.25">
      <c r="A85" s="3"/>
      <c r="B85" s="261"/>
      <c r="C85" s="453"/>
      <c r="D85" s="453"/>
      <c r="E85" s="453"/>
      <c r="F85" s="453"/>
      <c r="G85" s="453"/>
      <c r="H85" s="453"/>
      <c r="I85" s="453"/>
      <c r="J85" s="453"/>
      <c r="K85" s="453"/>
      <c r="L85" s="454"/>
      <c r="M85" s="454"/>
      <c r="N85" s="454"/>
      <c r="O85" s="454"/>
      <c r="P85" s="454"/>
      <c r="Q85" s="454"/>
      <c r="R85" s="454"/>
      <c r="S85" s="454"/>
      <c r="T85" s="454"/>
      <c r="U85" s="454"/>
      <c r="V85" s="454"/>
      <c r="W85" s="454"/>
      <c r="X85" s="454"/>
      <c r="Y85" s="454"/>
      <c r="Z85" s="453"/>
      <c r="AA85" s="453"/>
      <c r="AB85" s="453"/>
    </row>
    <row r="86" spans="1:28" x14ac:dyDescent="0.25">
      <c r="A86" s="3"/>
      <c r="B86" s="261"/>
      <c r="C86" s="453"/>
      <c r="D86" s="453"/>
      <c r="E86" s="453"/>
      <c r="F86" s="453"/>
      <c r="G86" s="453"/>
      <c r="H86" s="453"/>
      <c r="I86" s="453"/>
      <c r="J86" s="453"/>
      <c r="K86" s="453"/>
      <c r="L86" s="454"/>
      <c r="M86" s="454"/>
      <c r="N86" s="454"/>
      <c r="O86" s="454"/>
      <c r="P86" s="454"/>
      <c r="Q86" s="454"/>
      <c r="R86" s="454"/>
      <c r="S86" s="454"/>
      <c r="T86" s="454"/>
      <c r="U86" s="454"/>
      <c r="V86" s="454"/>
      <c r="W86" s="454"/>
      <c r="X86" s="454"/>
      <c r="Y86" s="454"/>
      <c r="Z86" s="453"/>
      <c r="AA86" s="453"/>
      <c r="AB86" s="453"/>
    </row>
    <row r="87" spans="1:28" x14ac:dyDescent="0.25">
      <c r="A87" s="3"/>
      <c r="B87" s="261"/>
      <c r="C87" s="453"/>
      <c r="D87" s="453"/>
      <c r="E87" s="453"/>
      <c r="F87" s="453"/>
      <c r="G87" s="453"/>
      <c r="H87" s="453"/>
      <c r="I87" s="453"/>
      <c r="J87" s="453"/>
      <c r="K87" s="453"/>
      <c r="L87" s="454"/>
      <c r="M87" s="454"/>
      <c r="N87" s="454"/>
      <c r="O87" s="454"/>
      <c r="P87" s="454"/>
      <c r="Q87" s="454"/>
      <c r="R87" s="454"/>
      <c r="S87" s="454"/>
      <c r="T87" s="454"/>
      <c r="U87" s="454"/>
      <c r="V87" s="454"/>
      <c r="W87" s="454"/>
      <c r="X87" s="454"/>
      <c r="Y87" s="454"/>
      <c r="Z87" s="453"/>
      <c r="AA87" s="453"/>
      <c r="AB87" s="453"/>
    </row>
    <row r="88" spans="1:28" x14ac:dyDescent="0.25">
      <c r="A88" s="3"/>
      <c r="B88" s="261"/>
      <c r="C88" s="453"/>
      <c r="D88" s="453"/>
      <c r="E88" s="453"/>
      <c r="F88" s="453"/>
      <c r="G88" s="453"/>
      <c r="H88" s="453"/>
      <c r="I88" s="453"/>
      <c r="J88" s="453"/>
      <c r="K88" s="453"/>
      <c r="L88" s="454"/>
      <c r="M88" s="454"/>
      <c r="N88" s="454"/>
      <c r="O88" s="454"/>
      <c r="P88" s="454"/>
      <c r="Q88" s="454"/>
      <c r="R88" s="454"/>
      <c r="S88" s="454"/>
      <c r="T88" s="454"/>
      <c r="U88" s="454"/>
      <c r="V88" s="454"/>
      <c r="W88" s="454"/>
      <c r="X88" s="454"/>
      <c r="Y88" s="454"/>
      <c r="Z88" s="453"/>
      <c r="AA88" s="453"/>
      <c r="AB88" s="453"/>
    </row>
    <row r="89" spans="1:28" x14ac:dyDescent="0.25">
      <c r="A89" s="1432" t="s">
        <v>352</v>
      </c>
      <c r="B89" s="1432"/>
      <c r="C89" s="1432"/>
      <c r="D89" s="1432"/>
      <c r="E89" s="1432"/>
      <c r="F89" s="1432"/>
      <c r="G89" s="1432"/>
      <c r="H89" s="1432"/>
      <c r="I89" s="1432"/>
      <c r="J89" s="1432"/>
      <c r="K89" s="1432"/>
      <c r="L89" s="1432"/>
      <c r="M89" s="1432"/>
      <c r="N89" s="1432"/>
      <c r="O89" s="1432"/>
      <c r="P89" s="1432"/>
      <c r="Q89" s="1432"/>
      <c r="R89" s="1432"/>
      <c r="S89" s="1432"/>
      <c r="T89" s="1432"/>
      <c r="U89" s="1432"/>
      <c r="V89" s="1432"/>
      <c r="W89" s="1432"/>
      <c r="X89" s="1432"/>
      <c r="Y89" s="1432"/>
      <c r="Z89" s="1432"/>
      <c r="AA89" s="453"/>
      <c r="AB89" s="453"/>
    </row>
    <row r="90" spans="1:28" x14ac:dyDescent="0.25">
      <c r="A90" s="1432" t="s">
        <v>353</v>
      </c>
      <c r="B90" s="1432"/>
      <c r="C90" s="1432"/>
      <c r="D90" s="1432"/>
      <c r="E90" s="1432"/>
      <c r="F90" s="1432"/>
      <c r="G90" s="1432"/>
      <c r="H90" s="1432"/>
      <c r="I90" s="1432"/>
      <c r="J90" s="1432"/>
      <c r="K90" s="1432"/>
      <c r="L90" s="1432"/>
      <c r="M90" s="1432"/>
      <c r="N90" s="1432"/>
      <c r="O90" s="1432"/>
      <c r="P90" s="1432"/>
      <c r="Q90" s="1432"/>
      <c r="R90" s="1432"/>
      <c r="S90" s="1432"/>
      <c r="T90" s="1432"/>
      <c r="U90" s="1432"/>
      <c r="V90" s="1432"/>
      <c r="W90" s="1432"/>
      <c r="X90" s="1432"/>
      <c r="Y90" s="1432"/>
      <c r="Z90" s="1432"/>
    </row>
    <row r="91" spans="1:28" s="264" customFormat="1" ht="15.75" thickBot="1" x14ac:dyDescent="0.3">
      <c r="A91" s="1433" t="str">
        <f>A3</f>
        <v>For the Period October 1-31, 2021</v>
      </c>
      <c r="B91" s="1433"/>
      <c r="C91" s="1433"/>
      <c r="D91" s="1433"/>
      <c r="E91" s="1433"/>
      <c r="F91" s="1433"/>
      <c r="G91" s="1433"/>
      <c r="H91" s="1433"/>
      <c r="I91" s="1433"/>
      <c r="J91" s="1433"/>
      <c r="K91" s="1433"/>
      <c r="L91" s="1433"/>
      <c r="M91" s="1433"/>
      <c r="N91" s="1433"/>
      <c r="O91" s="1433"/>
      <c r="P91" s="1433"/>
      <c r="Q91" s="1433"/>
      <c r="R91" s="1433"/>
      <c r="S91" s="1433"/>
      <c r="T91" s="1433"/>
      <c r="U91" s="1433"/>
      <c r="V91" s="1433"/>
      <c r="W91" s="1433"/>
      <c r="X91" s="1433"/>
      <c r="Y91" s="1433"/>
      <c r="Z91" s="1433"/>
      <c r="AA91" s="20"/>
      <c r="AB91" s="20"/>
    </row>
    <row r="92" spans="1:28" s="712" customFormat="1" ht="27" thickTop="1" x14ac:dyDescent="0.25">
      <c r="A92" s="71" t="s">
        <v>347</v>
      </c>
      <c r="B92" s="958" t="s">
        <v>254</v>
      </c>
      <c r="C92" s="958" t="s">
        <v>133</v>
      </c>
      <c r="D92" s="1073" t="s">
        <v>1204</v>
      </c>
      <c r="E92" s="1073" t="s">
        <v>1204</v>
      </c>
      <c r="F92" s="1073" t="s">
        <v>1204</v>
      </c>
      <c r="G92" s="1073" t="s">
        <v>1227</v>
      </c>
      <c r="H92" s="71" t="s">
        <v>1</v>
      </c>
      <c r="I92" s="71" t="s">
        <v>316</v>
      </c>
      <c r="J92" s="71" t="s">
        <v>314</v>
      </c>
      <c r="K92" s="74" t="s">
        <v>346</v>
      </c>
      <c r="L92" s="19"/>
      <c r="M92" s="19"/>
      <c r="N92" s="19"/>
      <c r="O92" s="19"/>
      <c r="P92" s="24"/>
      <c r="Q92" s="24"/>
      <c r="R92" s="24"/>
      <c r="S92" s="24"/>
      <c r="T92" s="24"/>
      <c r="U92" s="24"/>
      <c r="V92" s="24"/>
      <c r="W92" s="24"/>
      <c r="X92" s="74" t="s">
        <v>316</v>
      </c>
      <c r="Y92" s="74" t="s">
        <v>348</v>
      </c>
      <c r="Z92" s="74" t="s">
        <v>1</v>
      </c>
      <c r="AA92" s="74" t="s">
        <v>131</v>
      </c>
      <c r="AB92" s="74" t="s">
        <v>131</v>
      </c>
    </row>
    <row r="93" spans="1:28" s="712" customFormat="1" ht="15.75" thickBot="1" x14ac:dyDescent="0.3">
      <c r="A93" s="959"/>
      <c r="B93" s="25" t="s">
        <v>3</v>
      </c>
      <c r="C93" s="25" t="s">
        <v>336</v>
      </c>
      <c r="D93" s="1009" t="s">
        <v>1184</v>
      </c>
      <c r="E93" s="1224"/>
      <c r="F93" s="1224"/>
      <c r="G93" s="1101">
        <v>44305</v>
      </c>
      <c r="H93" s="729" t="s">
        <v>314</v>
      </c>
      <c r="I93" s="729" t="s">
        <v>314</v>
      </c>
      <c r="J93" s="729" t="s">
        <v>315</v>
      </c>
      <c r="K93" s="723" t="s">
        <v>315</v>
      </c>
      <c r="L93" s="27" t="s">
        <v>0</v>
      </c>
      <c r="M93" s="27" t="s">
        <v>120</v>
      </c>
      <c r="N93" s="27" t="s">
        <v>121</v>
      </c>
      <c r="O93" s="27" t="s">
        <v>122</v>
      </c>
      <c r="P93" s="27" t="s">
        <v>123</v>
      </c>
      <c r="Q93" s="27" t="s">
        <v>124</v>
      </c>
      <c r="R93" s="27" t="s">
        <v>125</v>
      </c>
      <c r="S93" s="27" t="s">
        <v>126</v>
      </c>
      <c r="T93" s="27" t="s">
        <v>127</v>
      </c>
      <c r="U93" s="27" t="s">
        <v>128</v>
      </c>
      <c r="V93" s="27" t="s">
        <v>129</v>
      </c>
      <c r="W93" s="27" t="s">
        <v>130</v>
      </c>
      <c r="X93" s="723" t="s">
        <v>317</v>
      </c>
      <c r="Y93" s="723" t="s">
        <v>315</v>
      </c>
      <c r="Z93" s="723" t="s">
        <v>317</v>
      </c>
      <c r="AA93" s="723" t="s">
        <v>314</v>
      </c>
      <c r="AB93" s="723" t="s">
        <v>132</v>
      </c>
    </row>
    <row r="94" spans="1:28" ht="27" thickTop="1" x14ac:dyDescent="0.25">
      <c r="A94" s="960" t="s">
        <v>693</v>
      </c>
      <c r="B94" s="54"/>
      <c r="C94" s="117"/>
      <c r="D94" s="117"/>
      <c r="E94" s="117"/>
      <c r="F94" s="117"/>
      <c r="G94" s="117"/>
      <c r="H94" s="52"/>
      <c r="I94" s="720">
        <f t="shared" ref="I94:I115" si="65">H94/12*9</f>
        <v>0</v>
      </c>
      <c r="J94" s="720">
        <f t="shared" ref="J94:J115" si="66">H94/12</f>
        <v>0</v>
      </c>
      <c r="K94" s="40">
        <f t="shared" ref="K94:K106" si="67">I94+J94</f>
        <v>0</v>
      </c>
      <c r="L94" s="265"/>
      <c r="M94" s="265"/>
      <c r="N94" s="265"/>
      <c r="O94" s="265"/>
      <c r="P94" s="265"/>
      <c r="Q94" s="265"/>
      <c r="R94" s="265"/>
      <c r="S94" s="265"/>
      <c r="T94" s="265"/>
      <c r="U94" s="265"/>
      <c r="V94" s="265"/>
      <c r="W94" s="265"/>
      <c r="X94" s="997">
        <f t="shared" ref="X94:X115" si="68">L94+M94+N94+O94+P94+Q94+R94+S94+T94</f>
        <v>0</v>
      </c>
      <c r="Y94" s="997">
        <f t="shared" ref="Y94:Y115" si="69">U94</f>
        <v>0</v>
      </c>
      <c r="Z94" s="109">
        <f>SUM(L94:W94)</f>
        <v>0</v>
      </c>
      <c r="AA94" s="989">
        <f t="shared" ref="AA94:AA115" si="70">K94-Z94</f>
        <v>0</v>
      </c>
      <c r="AB94" s="996">
        <f t="shared" ref="AB94:AB115" si="71">H94-Z94</f>
        <v>0</v>
      </c>
    </row>
    <row r="95" spans="1:28" x14ac:dyDescent="0.25">
      <c r="A95" s="64" t="s">
        <v>694</v>
      </c>
      <c r="B95" s="54"/>
      <c r="C95" s="117"/>
      <c r="D95" s="117"/>
      <c r="E95" s="117"/>
      <c r="F95" s="117"/>
      <c r="G95" s="117"/>
      <c r="H95" s="52"/>
      <c r="I95" s="720">
        <f t="shared" si="65"/>
        <v>0</v>
      </c>
      <c r="J95" s="720">
        <f t="shared" si="66"/>
        <v>0</v>
      </c>
      <c r="K95" s="40">
        <f t="shared" si="67"/>
        <v>0</v>
      </c>
      <c r="L95" s="265"/>
      <c r="M95" s="265"/>
      <c r="N95" s="265"/>
      <c r="O95" s="265"/>
      <c r="P95" s="265"/>
      <c r="Q95" s="265"/>
      <c r="R95" s="265"/>
      <c r="S95" s="265"/>
      <c r="T95" s="265"/>
      <c r="U95" s="265"/>
      <c r="V95" s="265"/>
      <c r="W95" s="265"/>
      <c r="X95" s="997">
        <f t="shared" si="68"/>
        <v>0</v>
      </c>
      <c r="Y95" s="997">
        <f t="shared" si="69"/>
        <v>0</v>
      </c>
      <c r="Z95" s="989">
        <f t="shared" ref="Z95:Z96" si="72">SUM(L95:W95)</f>
        <v>0</v>
      </c>
      <c r="AA95" s="989">
        <f t="shared" si="70"/>
        <v>0</v>
      </c>
      <c r="AB95" s="996">
        <f t="shared" si="71"/>
        <v>0</v>
      </c>
    </row>
    <row r="96" spans="1:28" x14ac:dyDescent="0.25">
      <c r="A96" s="462" t="s">
        <v>695</v>
      </c>
      <c r="B96" s="54" t="s">
        <v>93</v>
      </c>
      <c r="C96" s="117">
        <v>20000</v>
      </c>
      <c r="D96" s="117"/>
      <c r="E96" s="117"/>
      <c r="F96" s="117"/>
      <c r="G96" s="117">
        <v>175000</v>
      </c>
      <c r="H96" s="720">
        <f t="shared" ref="H96:H115" si="73">SUM(C96:G96)</f>
        <v>195000</v>
      </c>
      <c r="I96" s="720">
        <f t="shared" si="65"/>
        <v>146250</v>
      </c>
      <c r="J96" s="720">
        <f t="shared" si="66"/>
        <v>16250</v>
      </c>
      <c r="K96" s="40">
        <f t="shared" si="67"/>
        <v>162500</v>
      </c>
      <c r="L96" s="265"/>
      <c r="M96" s="265"/>
      <c r="N96" s="265"/>
      <c r="O96" s="265"/>
      <c r="P96" s="265"/>
      <c r="Q96" s="265"/>
      <c r="R96" s="265"/>
      <c r="S96" s="265">
        <v>3171</v>
      </c>
      <c r="T96" s="265"/>
      <c r="U96" s="265"/>
      <c r="V96" s="265"/>
      <c r="W96" s="265"/>
      <c r="X96" s="997">
        <f t="shared" si="68"/>
        <v>3171</v>
      </c>
      <c r="Y96" s="997">
        <f t="shared" si="69"/>
        <v>0</v>
      </c>
      <c r="Z96" s="989">
        <f t="shared" si="72"/>
        <v>3171</v>
      </c>
      <c r="AA96" s="989">
        <f t="shared" si="70"/>
        <v>159329</v>
      </c>
      <c r="AB96" s="996">
        <f t="shared" si="71"/>
        <v>191829</v>
      </c>
    </row>
    <row r="97" spans="1:28" s="987" customFormat="1" x14ac:dyDescent="0.25">
      <c r="A97" s="1246" t="s">
        <v>1351</v>
      </c>
      <c r="B97" s="861"/>
      <c r="C97" s="117"/>
      <c r="D97" s="117"/>
      <c r="E97" s="117"/>
      <c r="F97" s="117">
        <f>439022.05</f>
        <v>439022.05</v>
      </c>
      <c r="G97" s="117"/>
      <c r="H97" s="720">
        <f t="shared" si="73"/>
        <v>439022.05</v>
      </c>
      <c r="I97" s="720">
        <f t="shared" si="65"/>
        <v>329266.53749999998</v>
      </c>
      <c r="J97" s="720">
        <f t="shared" si="66"/>
        <v>36585.17083333333</v>
      </c>
      <c r="K97" s="989">
        <f t="shared" ref="K97:K98" si="74">I97+J97</f>
        <v>365851.70833333331</v>
      </c>
      <c r="L97" s="997"/>
      <c r="M97" s="997"/>
      <c r="N97" s="997"/>
      <c r="O97" s="997"/>
      <c r="P97" s="997"/>
      <c r="Q97" s="997"/>
      <c r="R97" s="997"/>
      <c r="S97" s="997"/>
      <c r="T97" s="997">
        <v>24700</v>
      </c>
      <c r="U97" s="997">
        <v>20900</v>
      </c>
      <c r="V97" s="997"/>
      <c r="W97" s="997"/>
      <c r="X97" s="997">
        <f t="shared" si="68"/>
        <v>24700</v>
      </c>
      <c r="Y97" s="997">
        <f t="shared" si="69"/>
        <v>20900</v>
      </c>
      <c r="Z97" s="989">
        <f t="shared" ref="Z97:Z98" si="75">SUM(L97:W97)</f>
        <v>45600</v>
      </c>
      <c r="AA97" s="989">
        <f t="shared" ref="AA97:AA98" si="76">K97-Z97</f>
        <v>320251.70833333331</v>
      </c>
      <c r="AB97" s="996">
        <f t="shared" ref="AB97:AB98" si="77">H97-Z97</f>
        <v>393422.05</v>
      </c>
    </row>
    <row r="98" spans="1:28" s="987" customFormat="1" ht="51.75" x14ac:dyDescent="0.25">
      <c r="A98" s="1238" t="s">
        <v>1350</v>
      </c>
      <c r="B98" s="861" t="s">
        <v>93</v>
      </c>
      <c r="C98" s="117"/>
      <c r="D98" s="117"/>
      <c r="E98" s="117">
        <f>74409</f>
        <v>74409</v>
      </c>
      <c r="F98" s="117"/>
      <c r="G98" s="117"/>
      <c r="H98" s="720">
        <f t="shared" si="73"/>
        <v>74409</v>
      </c>
      <c r="I98" s="720">
        <f t="shared" si="65"/>
        <v>55806.75</v>
      </c>
      <c r="J98" s="720">
        <f t="shared" si="66"/>
        <v>6200.75</v>
      </c>
      <c r="K98" s="989">
        <f t="shared" si="74"/>
        <v>62007.5</v>
      </c>
      <c r="L98" s="997"/>
      <c r="M98" s="997"/>
      <c r="N98" s="997"/>
      <c r="O98" s="997"/>
      <c r="P98" s="997"/>
      <c r="Q98" s="997"/>
      <c r="R98" s="997"/>
      <c r="S98" s="1077">
        <v>0</v>
      </c>
      <c r="T98" s="997">
        <v>74409</v>
      </c>
      <c r="U98" s="997"/>
      <c r="V98" s="997"/>
      <c r="W98" s="997"/>
      <c r="X98" s="997">
        <f t="shared" si="68"/>
        <v>74409</v>
      </c>
      <c r="Y98" s="997">
        <f t="shared" si="69"/>
        <v>0</v>
      </c>
      <c r="Z98" s="989">
        <f t="shared" si="75"/>
        <v>74409</v>
      </c>
      <c r="AA98" s="989">
        <f t="shared" si="76"/>
        <v>-12401.5</v>
      </c>
      <c r="AB98" s="996">
        <f t="shared" si="77"/>
        <v>0</v>
      </c>
    </row>
    <row r="99" spans="1:28" x14ac:dyDescent="0.25">
      <c r="A99" s="462" t="s">
        <v>149</v>
      </c>
      <c r="B99" s="54" t="s">
        <v>106</v>
      </c>
      <c r="C99" s="117">
        <v>20000</v>
      </c>
      <c r="D99" s="117"/>
      <c r="E99" s="117"/>
      <c r="F99" s="117"/>
      <c r="G99" s="117"/>
      <c r="H99" s="720">
        <f t="shared" si="73"/>
        <v>20000</v>
      </c>
      <c r="I99" s="720">
        <f t="shared" si="65"/>
        <v>15000</v>
      </c>
      <c r="J99" s="720">
        <f t="shared" si="66"/>
        <v>1666.6666666666667</v>
      </c>
      <c r="K99" s="40">
        <f t="shared" si="67"/>
        <v>16666.666666666668</v>
      </c>
      <c r="L99" s="265"/>
      <c r="M99" s="265"/>
      <c r="N99" s="265"/>
      <c r="O99" s="265"/>
      <c r="P99" s="265"/>
      <c r="Q99" s="265"/>
      <c r="R99" s="265"/>
      <c r="S99" s="265">
        <v>4500</v>
      </c>
      <c r="T99" s="265"/>
      <c r="U99" s="265"/>
      <c r="V99" s="265"/>
      <c r="W99" s="265"/>
      <c r="X99" s="997">
        <f t="shared" si="68"/>
        <v>4500</v>
      </c>
      <c r="Y99" s="997">
        <f t="shared" si="69"/>
        <v>0</v>
      </c>
      <c r="Z99" s="989">
        <f t="shared" ref="Z99:Z115" si="78">SUM(L99:W99)</f>
        <v>4500</v>
      </c>
      <c r="AA99" s="989">
        <f t="shared" si="70"/>
        <v>12166.666666666668</v>
      </c>
      <c r="AB99" s="996">
        <f t="shared" si="71"/>
        <v>15500</v>
      </c>
    </row>
    <row r="100" spans="1:28" x14ac:dyDescent="0.25">
      <c r="A100" s="285" t="s">
        <v>252</v>
      </c>
      <c r="B100" s="188"/>
      <c r="C100" s="117">
        <v>5000</v>
      </c>
      <c r="D100" s="117"/>
      <c r="E100" s="117"/>
      <c r="F100" s="117"/>
      <c r="G100" s="117"/>
      <c r="H100" s="720">
        <f>SUM(C100:G100)</f>
        <v>5000</v>
      </c>
      <c r="I100" s="720">
        <f t="shared" si="65"/>
        <v>3750</v>
      </c>
      <c r="J100" s="720">
        <f t="shared" si="66"/>
        <v>416.66666666666669</v>
      </c>
      <c r="K100" s="40">
        <f t="shared" si="67"/>
        <v>4166.666666666667</v>
      </c>
      <c r="L100" s="265"/>
      <c r="M100" s="265"/>
      <c r="N100" s="265"/>
      <c r="O100" s="265"/>
      <c r="P100" s="265"/>
      <c r="Q100" s="265"/>
      <c r="R100" s="265"/>
      <c r="S100" s="265"/>
      <c r="T100" s="265"/>
      <c r="U100" s="265"/>
      <c r="V100" s="265"/>
      <c r="W100" s="265"/>
      <c r="X100" s="997">
        <f t="shared" si="68"/>
        <v>0</v>
      </c>
      <c r="Y100" s="997">
        <f t="shared" si="69"/>
        <v>0</v>
      </c>
      <c r="Z100" s="989">
        <f t="shared" si="78"/>
        <v>0</v>
      </c>
      <c r="AA100" s="989">
        <f t="shared" si="70"/>
        <v>4166.666666666667</v>
      </c>
      <c r="AB100" s="996">
        <f t="shared" si="71"/>
        <v>5000</v>
      </c>
    </row>
    <row r="101" spans="1:28" x14ac:dyDescent="0.25">
      <c r="A101" s="285" t="s">
        <v>253</v>
      </c>
      <c r="B101" s="188"/>
      <c r="C101" s="117">
        <f>278000+225022.05-64000</f>
        <v>439022.05</v>
      </c>
      <c r="D101" s="117"/>
      <c r="E101" s="117"/>
      <c r="F101" s="117">
        <f>-439022.05</f>
        <v>-439022.05</v>
      </c>
      <c r="G101" s="117"/>
      <c r="H101" s="720">
        <f t="shared" si="73"/>
        <v>0</v>
      </c>
      <c r="I101" s="720">
        <f t="shared" si="65"/>
        <v>0</v>
      </c>
      <c r="J101" s="720">
        <f t="shared" si="66"/>
        <v>0</v>
      </c>
      <c r="K101" s="40">
        <f t="shared" si="67"/>
        <v>0</v>
      </c>
      <c r="L101" s="265"/>
      <c r="M101" s="265"/>
      <c r="N101" s="265"/>
      <c r="O101" s="265"/>
      <c r="P101" s="265"/>
      <c r="Q101" s="265"/>
      <c r="R101" s="265"/>
      <c r="S101" s="265"/>
      <c r="T101" s="265"/>
      <c r="U101" s="265"/>
      <c r="V101" s="265"/>
      <c r="W101" s="265"/>
      <c r="X101" s="997">
        <f t="shared" si="68"/>
        <v>0</v>
      </c>
      <c r="Y101" s="997">
        <f t="shared" si="69"/>
        <v>0</v>
      </c>
      <c r="Z101" s="989">
        <f t="shared" si="78"/>
        <v>0</v>
      </c>
      <c r="AA101" s="989">
        <f t="shared" si="70"/>
        <v>0</v>
      </c>
      <c r="AB101" s="996">
        <f t="shared" si="71"/>
        <v>0</v>
      </c>
    </row>
    <row r="102" spans="1:28" x14ac:dyDescent="0.25">
      <c r="A102" s="64" t="s">
        <v>696</v>
      </c>
      <c r="B102" s="54"/>
      <c r="C102" s="117"/>
      <c r="D102" s="117"/>
      <c r="E102" s="117"/>
      <c r="F102" s="117"/>
      <c r="G102" s="117"/>
      <c r="H102" s="720">
        <f t="shared" si="73"/>
        <v>0</v>
      </c>
      <c r="I102" s="720">
        <f t="shared" si="65"/>
        <v>0</v>
      </c>
      <c r="J102" s="720">
        <f t="shared" si="66"/>
        <v>0</v>
      </c>
      <c r="K102" s="40">
        <f t="shared" si="67"/>
        <v>0</v>
      </c>
      <c r="L102" s="265"/>
      <c r="M102" s="265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997">
        <f t="shared" si="68"/>
        <v>0</v>
      </c>
      <c r="Y102" s="997">
        <f t="shared" si="69"/>
        <v>0</v>
      </c>
      <c r="Z102" s="989">
        <f t="shared" si="78"/>
        <v>0</v>
      </c>
      <c r="AA102" s="989">
        <f t="shared" si="70"/>
        <v>0</v>
      </c>
      <c r="AB102" s="996">
        <f t="shared" si="71"/>
        <v>0</v>
      </c>
    </row>
    <row r="103" spans="1:28" x14ac:dyDescent="0.25">
      <c r="A103" s="285" t="s">
        <v>233</v>
      </c>
      <c r="B103" s="54"/>
      <c r="C103" s="117">
        <v>30000</v>
      </c>
      <c r="D103" s="117"/>
      <c r="E103" s="117">
        <f>72215</f>
        <v>72215</v>
      </c>
      <c r="F103" s="117"/>
      <c r="G103" s="117"/>
      <c r="H103" s="720">
        <f t="shared" si="73"/>
        <v>102215</v>
      </c>
      <c r="I103" s="720">
        <f t="shared" si="65"/>
        <v>76661.25</v>
      </c>
      <c r="J103" s="720">
        <f t="shared" si="66"/>
        <v>8517.9166666666661</v>
      </c>
      <c r="K103" s="40">
        <f t="shared" si="67"/>
        <v>85179.166666666672</v>
      </c>
      <c r="L103" s="265"/>
      <c r="M103" s="265"/>
      <c r="N103" s="265"/>
      <c r="O103" s="265"/>
      <c r="P103" s="265"/>
      <c r="Q103" s="265"/>
      <c r="R103" s="265">
        <v>29880</v>
      </c>
      <c r="S103" s="1228">
        <v>72214.92</v>
      </c>
      <c r="T103" s="265"/>
      <c r="U103" s="265"/>
      <c r="V103" s="265"/>
      <c r="W103" s="265"/>
      <c r="X103" s="997">
        <f t="shared" si="68"/>
        <v>102094.92</v>
      </c>
      <c r="Y103" s="997">
        <f t="shared" si="69"/>
        <v>0</v>
      </c>
      <c r="Z103" s="989">
        <f t="shared" si="78"/>
        <v>102094.92</v>
      </c>
      <c r="AA103" s="989">
        <f t="shared" si="70"/>
        <v>-16915.753333333327</v>
      </c>
      <c r="AB103" s="996">
        <f t="shared" si="71"/>
        <v>120.08000000000175</v>
      </c>
    </row>
    <row r="104" spans="1:28" x14ac:dyDescent="0.25">
      <c r="A104" s="285" t="s">
        <v>50</v>
      </c>
      <c r="B104" s="54"/>
      <c r="C104" s="117">
        <v>10000</v>
      </c>
      <c r="D104" s="117"/>
      <c r="E104" s="117"/>
      <c r="F104" s="117"/>
      <c r="G104" s="117"/>
      <c r="H104" s="720">
        <f t="shared" si="73"/>
        <v>10000</v>
      </c>
      <c r="I104" s="720">
        <f t="shared" si="65"/>
        <v>7500</v>
      </c>
      <c r="J104" s="720">
        <f t="shared" si="66"/>
        <v>833.33333333333337</v>
      </c>
      <c r="K104" s="40">
        <f t="shared" si="67"/>
        <v>8333.3333333333339</v>
      </c>
      <c r="L104" s="265"/>
      <c r="M104" s="265"/>
      <c r="N104" s="265"/>
      <c r="O104" s="265"/>
      <c r="P104" s="265"/>
      <c r="Q104" s="265"/>
      <c r="R104" s="265"/>
      <c r="S104" s="1228">
        <f>5765</f>
        <v>5765</v>
      </c>
      <c r="T104" s="265"/>
      <c r="U104" s="265"/>
      <c r="V104" s="265"/>
      <c r="W104" s="265"/>
      <c r="X104" s="997">
        <f t="shared" si="68"/>
        <v>5765</v>
      </c>
      <c r="Y104" s="997">
        <f t="shared" si="69"/>
        <v>0</v>
      </c>
      <c r="Z104" s="989">
        <f t="shared" si="78"/>
        <v>5765</v>
      </c>
      <c r="AA104" s="989">
        <f t="shared" si="70"/>
        <v>2568.3333333333339</v>
      </c>
      <c r="AB104" s="1230">
        <f t="shared" si="71"/>
        <v>4235</v>
      </c>
    </row>
    <row r="105" spans="1:28" x14ac:dyDescent="0.25">
      <c r="A105" s="285" t="s">
        <v>252</v>
      </c>
      <c r="B105" s="188"/>
      <c r="C105" s="117">
        <v>5000</v>
      </c>
      <c r="D105" s="117"/>
      <c r="E105" s="117"/>
      <c r="F105" s="117"/>
      <c r="G105" s="117"/>
      <c r="H105" s="720">
        <f t="shared" si="73"/>
        <v>5000</v>
      </c>
      <c r="I105" s="720">
        <f t="shared" si="65"/>
        <v>3750</v>
      </c>
      <c r="J105" s="720">
        <f t="shared" si="66"/>
        <v>416.66666666666669</v>
      </c>
      <c r="K105" s="40">
        <f t="shared" si="67"/>
        <v>4166.666666666667</v>
      </c>
      <c r="L105" s="265"/>
      <c r="M105" s="265"/>
      <c r="N105" s="265"/>
      <c r="O105" s="265">
        <v>1050</v>
      </c>
      <c r="P105" s="265"/>
      <c r="Q105" s="265"/>
      <c r="R105" s="265"/>
      <c r="S105" s="1228"/>
      <c r="T105" s="265"/>
      <c r="U105" s="265"/>
      <c r="V105" s="265"/>
      <c r="W105" s="265"/>
      <c r="X105" s="997">
        <f t="shared" si="68"/>
        <v>1050</v>
      </c>
      <c r="Y105" s="997">
        <f t="shared" si="69"/>
        <v>0</v>
      </c>
      <c r="Z105" s="989">
        <f t="shared" si="78"/>
        <v>1050</v>
      </c>
      <c r="AA105" s="989">
        <f t="shared" si="70"/>
        <v>3116.666666666667</v>
      </c>
      <c r="AB105" s="996">
        <f t="shared" si="71"/>
        <v>3950</v>
      </c>
    </row>
    <row r="106" spans="1:28" x14ac:dyDescent="0.25">
      <c r="A106" s="285" t="s">
        <v>253</v>
      </c>
      <c r="B106" s="188"/>
      <c r="C106" s="117">
        <v>440000</v>
      </c>
      <c r="D106" s="117"/>
      <c r="E106" s="117">
        <f>-353184</f>
        <v>-353184</v>
      </c>
      <c r="F106" s="117"/>
      <c r="G106" s="117"/>
      <c r="H106" s="720">
        <f t="shared" si="73"/>
        <v>86816</v>
      </c>
      <c r="I106" s="720">
        <f t="shared" si="65"/>
        <v>65112</v>
      </c>
      <c r="J106" s="720">
        <f t="shared" si="66"/>
        <v>7234.666666666667</v>
      </c>
      <c r="K106" s="40">
        <f t="shared" si="67"/>
        <v>72346.666666666672</v>
      </c>
      <c r="L106" s="265"/>
      <c r="M106" s="265"/>
      <c r="N106" s="265"/>
      <c r="O106" s="265"/>
      <c r="P106" s="265"/>
      <c r="Q106" s="265">
        <v>86816</v>
      </c>
      <c r="R106" s="1077">
        <v>0</v>
      </c>
      <c r="S106" s="1228"/>
      <c r="T106" s="265"/>
      <c r="U106" s="265"/>
      <c r="V106" s="265"/>
      <c r="W106" s="265"/>
      <c r="X106" s="997">
        <f t="shared" si="68"/>
        <v>86816</v>
      </c>
      <c r="Y106" s="997">
        <f t="shared" si="69"/>
        <v>0</v>
      </c>
      <c r="Z106" s="989">
        <f t="shared" si="78"/>
        <v>86816</v>
      </c>
      <c r="AA106" s="989">
        <f t="shared" si="70"/>
        <v>-14469.333333333328</v>
      </c>
      <c r="AB106" s="996">
        <f t="shared" si="71"/>
        <v>0</v>
      </c>
    </row>
    <row r="107" spans="1:28" x14ac:dyDescent="0.25">
      <c r="A107" s="64" t="s">
        <v>697</v>
      </c>
      <c r="B107" s="54"/>
      <c r="C107" s="117"/>
      <c r="D107" s="117"/>
      <c r="E107" s="117"/>
      <c r="F107" s="117"/>
      <c r="G107" s="117"/>
      <c r="H107" s="720">
        <f t="shared" si="73"/>
        <v>0</v>
      </c>
      <c r="I107" s="720">
        <f t="shared" si="65"/>
        <v>0</v>
      </c>
      <c r="J107" s="720">
        <f t="shared" si="66"/>
        <v>0</v>
      </c>
      <c r="K107" s="40">
        <f t="shared" ref="K107:K114" si="79">I107+J107</f>
        <v>0</v>
      </c>
      <c r="L107" s="265"/>
      <c r="M107" s="265"/>
      <c r="N107" s="265"/>
      <c r="O107" s="265"/>
      <c r="P107" s="265"/>
      <c r="Q107" s="265"/>
      <c r="R107" s="265"/>
      <c r="S107" s="265"/>
      <c r="T107" s="265"/>
      <c r="U107" s="265"/>
      <c r="V107" s="265"/>
      <c r="W107" s="265"/>
      <c r="X107" s="997">
        <f t="shared" si="68"/>
        <v>0</v>
      </c>
      <c r="Y107" s="997">
        <f t="shared" si="69"/>
        <v>0</v>
      </c>
      <c r="Z107" s="989">
        <f t="shared" si="78"/>
        <v>0</v>
      </c>
      <c r="AA107" s="989">
        <f t="shared" si="70"/>
        <v>0</v>
      </c>
      <c r="AB107" s="996">
        <f t="shared" si="71"/>
        <v>0</v>
      </c>
    </row>
    <row r="108" spans="1:28" x14ac:dyDescent="0.25">
      <c r="A108" s="64" t="s">
        <v>698</v>
      </c>
      <c r="B108" s="54"/>
      <c r="C108" s="117"/>
      <c r="D108" s="117"/>
      <c r="E108" s="117"/>
      <c r="F108" s="117"/>
      <c r="G108" s="117"/>
      <c r="H108" s="720">
        <f t="shared" si="73"/>
        <v>0</v>
      </c>
      <c r="I108" s="720">
        <f t="shared" si="65"/>
        <v>0</v>
      </c>
      <c r="J108" s="720">
        <f t="shared" si="66"/>
        <v>0</v>
      </c>
      <c r="K108" s="40">
        <f t="shared" si="79"/>
        <v>0</v>
      </c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997">
        <f t="shared" si="68"/>
        <v>0</v>
      </c>
      <c r="Y108" s="997">
        <f t="shared" si="69"/>
        <v>0</v>
      </c>
      <c r="Z108" s="989">
        <f t="shared" si="78"/>
        <v>0</v>
      </c>
      <c r="AA108" s="989">
        <f t="shared" si="70"/>
        <v>0</v>
      </c>
      <c r="AB108" s="996">
        <f t="shared" si="71"/>
        <v>0</v>
      </c>
    </row>
    <row r="109" spans="1:28" s="987" customFormat="1" x14ac:dyDescent="0.25">
      <c r="A109" s="882" t="s">
        <v>233</v>
      </c>
      <c r="B109" s="460"/>
      <c r="C109" s="117"/>
      <c r="D109" s="117"/>
      <c r="E109" s="117"/>
      <c r="F109" s="117">
        <f>270000</f>
        <v>270000</v>
      </c>
      <c r="G109" s="117"/>
      <c r="H109" s="720">
        <f t="shared" si="73"/>
        <v>270000</v>
      </c>
      <c r="I109" s="720">
        <f t="shared" si="65"/>
        <v>202500</v>
      </c>
      <c r="J109" s="720">
        <f t="shared" si="66"/>
        <v>22500</v>
      </c>
      <c r="K109" s="989">
        <f t="shared" si="79"/>
        <v>225000</v>
      </c>
      <c r="L109" s="461"/>
      <c r="M109" s="461"/>
      <c r="N109" s="461"/>
      <c r="O109" s="461"/>
      <c r="P109" s="461"/>
      <c r="Q109" s="461"/>
      <c r="R109" s="461"/>
      <c r="S109" s="461"/>
      <c r="T109" s="461"/>
      <c r="U109" s="461"/>
      <c r="V109" s="461"/>
      <c r="W109" s="461"/>
      <c r="X109" s="997">
        <f t="shared" si="68"/>
        <v>0</v>
      </c>
      <c r="Y109" s="997">
        <f t="shared" si="69"/>
        <v>0</v>
      </c>
      <c r="Z109" s="989">
        <f t="shared" si="78"/>
        <v>0</v>
      </c>
      <c r="AA109" s="989">
        <f t="shared" si="70"/>
        <v>225000</v>
      </c>
      <c r="AB109" s="996">
        <f t="shared" ref="AB109" si="80">H109-Z109</f>
        <v>270000</v>
      </c>
    </row>
    <row r="110" spans="1:28" x14ac:dyDescent="0.25">
      <c r="A110" s="285" t="s">
        <v>253</v>
      </c>
      <c r="B110" s="460"/>
      <c r="C110" s="117">
        <v>270000</v>
      </c>
      <c r="D110" s="117"/>
      <c r="E110" s="117"/>
      <c r="F110" s="117">
        <f>-270000</f>
        <v>-270000</v>
      </c>
      <c r="G110" s="117"/>
      <c r="H110" s="720">
        <f t="shared" si="73"/>
        <v>0</v>
      </c>
      <c r="I110" s="720">
        <f t="shared" si="65"/>
        <v>0</v>
      </c>
      <c r="J110" s="720">
        <f t="shared" si="66"/>
        <v>0</v>
      </c>
      <c r="K110" s="989">
        <f t="shared" si="79"/>
        <v>0</v>
      </c>
      <c r="L110" s="461"/>
      <c r="M110" s="461"/>
      <c r="N110" s="461"/>
      <c r="O110" s="461"/>
      <c r="P110" s="461"/>
      <c r="Q110" s="461"/>
      <c r="R110" s="461"/>
      <c r="S110" s="461"/>
      <c r="T110" s="461"/>
      <c r="U110" s="461"/>
      <c r="V110" s="461"/>
      <c r="W110" s="461"/>
      <c r="X110" s="997">
        <f t="shared" si="68"/>
        <v>0</v>
      </c>
      <c r="Y110" s="997">
        <f t="shared" si="69"/>
        <v>0</v>
      </c>
      <c r="Z110" s="989">
        <f t="shared" si="78"/>
        <v>0</v>
      </c>
      <c r="AA110" s="989">
        <f t="shared" si="70"/>
        <v>0</v>
      </c>
      <c r="AB110" s="996">
        <f t="shared" si="71"/>
        <v>0</v>
      </c>
    </row>
    <row r="111" spans="1:28" x14ac:dyDescent="0.25">
      <c r="A111" s="285" t="s">
        <v>149</v>
      </c>
      <c r="B111" s="460"/>
      <c r="C111" s="117">
        <v>20000</v>
      </c>
      <c r="D111" s="117"/>
      <c r="E111" s="117"/>
      <c r="F111" s="117"/>
      <c r="G111" s="117"/>
      <c r="H111" s="720">
        <f t="shared" si="73"/>
        <v>20000</v>
      </c>
      <c r="I111" s="720">
        <f t="shared" si="65"/>
        <v>15000</v>
      </c>
      <c r="J111" s="720">
        <f t="shared" si="66"/>
        <v>1666.6666666666667</v>
      </c>
      <c r="K111" s="40">
        <f t="shared" si="79"/>
        <v>16666.666666666668</v>
      </c>
      <c r="L111" s="461"/>
      <c r="M111" s="461"/>
      <c r="N111" s="461"/>
      <c r="O111" s="461"/>
      <c r="P111" s="461"/>
      <c r="Q111" s="461"/>
      <c r="R111" s="461"/>
      <c r="S111" s="461"/>
      <c r="T111" s="461"/>
      <c r="U111" s="461"/>
      <c r="V111" s="461"/>
      <c r="W111" s="461"/>
      <c r="X111" s="997">
        <f t="shared" si="68"/>
        <v>0</v>
      </c>
      <c r="Y111" s="997">
        <f t="shared" si="69"/>
        <v>0</v>
      </c>
      <c r="Z111" s="989">
        <f t="shared" si="78"/>
        <v>0</v>
      </c>
      <c r="AA111" s="989">
        <f t="shared" si="70"/>
        <v>16666.666666666668</v>
      </c>
      <c r="AB111" s="996">
        <f t="shared" si="71"/>
        <v>20000</v>
      </c>
    </row>
    <row r="112" spans="1:28" x14ac:dyDescent="0.25">
      <c r="A112" s="64" t="s">
        <v>699</v>
      </c>
      <c r="B112" s="460"/>
      <c r="C112" s="228"/>
      <c r="D112" s="228"/>
      <c r="E112" s="228"/>
      <c r="F112" s="228"/>
      <c r="G112" s="228"/>
      <c r="H112" s="720">
        <f t="shared" si="73"/>
        <v>0</v>
      </c>
      <c r="I112" s="720">
        <f t="shared" si="65"/>
        <v>0</v>
      </c>
      <c r="J112" s="720">
        <f t="shared" si="66"/>
        <v>0</v>
      </c>
      <c r="K112" s="40">
        <f t="shared" si="79"/>
        <v>0</v>
      </c>
      <c r="L112" s="461"/>
      <c r="M112" s="461"/>
      <c r="N112" s="461"/>
      <c r="O112" s="461"/>
      <c r="P112" s="461"/>
      <c r="Q112" s="461"/>
      <c r="R112" s="461"/>
      <c r="S112" s="461"/>
      <c r="T112" s="461"/>
      <c r="U112" s="461"/>
      <c r="V112" s="461"/>
      <c r="W112" s="461"/>
      <c r="X112" s="997">
        <f t="shared" si="68"/>
        <v>0</v>
      </c>
      <c r="Y112" s="997">
        <f t="shared" si="69"/>
        <v>0</v>
      </c>
      <c r="Z112" s="989">
        <f t="shared" si="78"/>
        <v>0</v>
      </c>
      <c r="AA112" s="989">
        <f t="shared" si="70"/>
        <v>0</v>
      </c>
      <c r="AB112" s="996">
        <f t="shared" si="71"/>
        <v>0</v>
      </c>
    </row>
    <row r="113" spans="1:28" s="987" customFormat="1" x14ac:dyDescent="0.25">
      <c r="A113" s="882" t="s">
        <v>233</v>
      </c>
      <c r="B113" s="460"/>
      <c r="C113" s="228"/>
      <c r="D113" s="228"/>
      <c r="E113" s="228"/>
      <c r="F113" s="228">
        <f>90000</f>
        <v>90000</v>
      </c>
      <c r="G113" s="228"/>
      <c r="H113" s="720">
        <f t="shared" si="73"/>
        <v>90000</v>
      </c>
      <c r="I113" s="720">
        <f t="shared" si="65"/>
        <v>67500</v>
      </c>
      <c r="J113" s="720">
        <f t="shared" si="66"/>
        <v>7500</v>
      </c>
      <c r="K113" s="989">
        <f t="shared" ref="K113" si="81">I113+J113</f>
        <v>75000</v>
      </c>
      <c r="L113" s="461"/>
      <c r="M113" s="461"/>
      <c r="N113" s="461"/>
      <c r="O113" s="461"/>
      <c r="P113" s="461"/>
      <c r="Q113" s="461"/>
      <c r="R113" s="461"/>
      <c r="S113" s="461">
        <v>56040</v>
      </c>
      <c r="T113" s="461"/>
      <c r="U113" s="461"/>
      <c r="V113" s="461"/>
      <c r="W113" s="461"/>
      <c r="X113" s="997">
        <f t="shared" si="68"/>
        <v>56040</v>
      </c>
      <c r="Y113" s="997">
        <f t="shared" si="69"/>
        <v>0</v>
      </c>
      <c r="Z113" s="989">
        <f t="shared" si="78"/>
        <v>56040</v>
      </c>
      <c r="AA113" s="989">
        <f t="shared" si="70"/>
        <v>18960</v>
      </c>
      <c r="AB113" s="996">
        <f t="shared" ref="AB113" si="82">H113-Z113</f>
        <v>33960</v>
      </c>
    </row>
    <row r="114" spans="1:28" x14ac:dyDescent="0.25">
      <c r="A114" s="462" t="s">
        <v>253</v>
      </c>
      <c r="B114" s="460"/>
      <c r="C114" s="228">
        <v>90000</v>
      </c>
      <c r="D114" s="228"/>
      <c r="E114" s="228"/>
      <c r="F114" s="228">
        <f>-90000</f>
        <v>-90000</v>
      </c>
      <c r="G114" s="228"/>
      <c r="H114" s="720">
        <f t="shared" si="73"/>
        <v>0</v>
      </c>
      <c r="I114" s="720">
        <f t="shared" si="65"/>
        <v>0</v>
      </c>
      <c r="J114" s="720">
        <f t="shared" si="66"/>
        <v>0</v>
      </c>
      <c r="K114" s="40">
        <f t="shared" si="79"/>
        <v>0</v>
      </c>
      <c r="L114" s="461"/>
      <c r="M114" s="461"/>
      <c r="N114" s="461"/>
      <c r="O114" s="461"/>
      <c r="P114" s="461"/>
      <c r="Q114" s="461"/>
      <c r="R114" s="461"/>
      <c r="T114" s="461"/>
      <c r="U114" s="461"/>
      <c r="V114" s="461"/>
      <c r="W114" s="461"/>
      <c r="X114" s="997">
        <f t="shared" si="68"/>
        <v>0</v>
      </c>
      <c r="Y114" s="997">
        <f t="shared" si="69"/>
        <v>0</v>
      </c>
      <c r="Z114" s="989">
        <f t="shared" si="78"/>
        <v>0</v>
      </c>
      <c r="AA114" s="989">
        <f t="shared" si="70"/>
        <v>0</v>
      </c>
      <c r="AB114" s="996">
        <f t="shared" si="71"/>
        <v>0</v>
      </c>
    </row>
    <row r="115" spans="1:28" x14ac:dyDescent="0.25">
      <c r="A115" s="459"/>
      <c r="B115" s="460"/>
      <c r="C115" s="228"/>
      <c r="D115" s="228"/>
      <c r="E115" s="228"/>
      <c r="F115" s="228"/>
      <c r="G115" s="228"/>
      <c r="H115" s="720">
        <f t="shared" si="73"/>
        <v>0</v>
      </c>
      <c r="I115" s="720">
        <f t="shared" si="65"/>
        <v>0</v>
      </c>
      <c r="J115" s="720">
        <f t="shared" si="66"/>
        <v>0</v>
      </c>
      <c r="K115" s="73"/>
      <c r="L115" s="461"/>
      <c r="M115" s="461"/>
      <c r="N115" s="461"/>
      <c r="O115" s="461"/>
      <c r="P115" s="461"/>
      <c r="Q115" s="461"/>
      <c r="R115" s="461"/>
      <c r="S115" s="461"/>
      <c r="T115" s="461"/>
      <c r="U115" s="461"/>
      <c r="V115" s="461"/>
      <c r="W115" s="461"/>
      <c r="X115" s="997">
        <f t="shared" si="68"/>
        <v>0</v>
      </c>
      <c r="Y115" s="997">
        <f t="shared" si="69"/>
        <v>0</v>
      </c>
      <c r="Z115" s="989">
        <f t="shared" si="78"/>
        <v>0</v>
      </c>
      <c r="AA115" s="989">
        <f t="shared" si="70"/>
        <v>0</v>
      </c>
      <c r="AB115" s="996">
        <f t="shared" si="71"/>
        <v>0</v>
      </c>
    </row>
    <row r="116" spans="1:28" ht="15.75" thickBot="1" x14ac:dyDescent="0.3">
      <c r="A116" s="105" t="s">
        <v>160</v>
      </c>
      <c r="B116" s="370"/>
      <c r="C116" s="364">
        <f t="shared" ref="C116:F116" si="83">SUM(C94:C115)</f>
        <v>1349022.05</v>
      </c>
      <c r="D116" s="364">
        <f t="shared" si="83"/>
        <v>0</v>
      </c>
      <c r="E116" s="364">
        <f t="shared" si="83"/>
        <v>-206560</v>
      </c>
      <c r="F116" s="364">
        <f t="shared" si="83"/>
        <v>0</v>
      </c>
      <c r="G116" s="364">
        <f>SUM(G94:G115)</f>
        <v>175000</v>
      </c>
      <c r="H116" s="364">
        <f t="shared" ref="H116:AB116" si="84">SUM(H94:H115)</f>
        <v>1317462.05</v>
      </c>
      <c r="I116" s="364">
        <f t="shared" si="84"/>
        <v>988096.53749999998</v>
      </c>
      <c r="J116" s="364">
        <f t="shared" si="84"/>
        <v>109788.50416666667</v>
      </c>
      <c r="K116" s="364">
        <f t="shared" si="84"/>
        <v>1097885.0416666665</v>
      </c>
      <c r="L116" s="364">
        <f t="shared" si="84"/>
        <v>0</v>
      </c>
      <c r="M116" s="364">
        <f t="shared" si="84"/>
        <v>0</v>
      </c>
      <c r="N116" s="364">
        <f t="shared" si="84"/>
        <v>0</v>
      </c>
      <c r="O116" s="364">
        <f t="shared" si="84"/>
        <v>1050</v>
      </c>
      <c r="P116" s="364">
        <f t="shared" si="84"/>
        <v>0</v>
      </c>
      <c r="Q116" s="364">
        <f t="shared" si="84"/>
        <v>86816</v>
      </c>
      <c r="R116" s="364">
        <f t="shared" si="84"/>
        <v>29880</v>
      </c>
      <c r="S116" s="364">
        <f t="shared" si="84"/>
        <v>141690.91999999998</v>
      </c>
      <c r="T116" s="364">
        <f t="shared" si="84"/>
        <v>99109</v>
      </c>
      <c r="U116" s="364">
        <f t="shared" si="84"/>
        <v>20900</v>
      </c>
      <c r="V116" s="364">
        <f t="shared" si="84"/>
        <v>0</v>
      </c>
      <c r="W116" s="364">
        <f t="shared" si="84"/>
        <v>0</v>
      </c>
      <c r="X116" s="364">
        <f t="shared" si="84"/>
        <v>358545.91999999998</v>
      </c>
      <c r="Y116" s="364">
        <f t="shared" si="84"/>
        <v>20900</v>
      </c>
      <c r="Z116" s="364">
        <f t="shared" si="84"/>
        <v>379445.92</v>
      </c>
      <c r="AA116" s="364">
        <f t="shared" si="84"/>
        <v>718439.1216666667</v>
      </c>
      <c r="AB116" s="364">
        <f t="shared" si="84"/>
        <v>938016.13</v>
      </c>
    </row>
    <row r="117" spans="1:28" ht="15.75" thickTop="1" x14ac:dyDescent="0.25"/>
    <row r="118" spans="1:28" x14ac:dyDescent="0.25">
      <c r="A118" s="21" t="s">
        <v>354</v>
      </c>
      <c r="B118" s="30"/>
      <c r="C118" s="35"/>
      <c r="D118" s="35"/>
      <c r="E118" s="35"/>
      <c r="F118" s="35"/>
      <c r="G118" s="35"/>
      <c r="H118" s="35"/>
      <c r="I118" s="35"/>
      <c r="J118" s="35"/>
      <c r="AA118" s="259" t="s">
        <v>357</v>
      </c>
    </row>
    <row r="120" spans="1:28" x14ac:dyDescent="0.25">
      <c r="B120" s="32"/>
      <c r="C120" s="36"/>
      <c r="D120" s="36"/>
      <c r="E120" s="36"/>
      <c r="F120" s="36"/>
      <c r="G120" s="36"/>
      <c r="H120" s="36"/>
      <c r="I120" s="36"/>
      <c r="J120" s="36"/>
    </row>
    <row r="121" spans="1:28" x14ac:dyDescent="0.25">
      <c r="A121" s="258" t="s">
        <v>355</v>
      </c>
      <c r="B121" s="14"/>
      <c r="C121" s="31"/>
      <c r="D121" s="31"/>
      <c r="E121" s="31"/>
      <c r="F121" s="31"/>
      <c r="G121" s="31"/>
      <c r="H121" s="31"/>
      <c r="I121" s="31"/>
      <c r="J121" s="31"/>
      <c r="AA121" s="260" t="s">
        <v>358</v>
      </c>
    </row>
    <row r="122" spans="1:28" x14ac:dyDescent="0.25">
      <c r="A122" s="259" t="s">
        <v>356</v>
      </c>
      <c r="AA122" s="259" t="s">
        <v>359</v>
      </c>
    </row>
  </sheetData>
  <mergeCells count="6">
    <mergeCell ref="A1:AB1"/>
    <mergeCell ref="A91:Z91"/>
    <mergeCell ref="A89:Z89"/>
    <mergeCell ref="A90:Z90"/>
    <mergeCell ref="A3:AB3"/>
    <mergeCell ref="A2:AB2"/>
  </mergeCells>
  <printOptions horizontalCentered="1" verticalCentered="1" headings="1"/>
  <pageMargins left="0.7" right="0.2" top="0.75" bottom="0.5" header="0.3" footer="0.3"/>
  <pageSetup paperSize="5" scale="63" orientation="landscape" r:id="rId1"/>
  <rowBreaks count="2" manualBreakCount="2">
    <brk id="41" max="16383" man="1"/>
    <brk id="8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view="pageBreakPreview" zoomScale="73" zoomScaleNormal="100" zoomScaleSheetLayoutView="73" workbookViewId="0">
      <pane xSplit="1" topLeftCell="Y1" activePane="topRight" state="frozen"/>
      <selection pane="topRight" activeCell="AB52" sqref="AB52"/>
    </sheetView>
  </sheetViews>
  <sheetFormatPr defaultRowHeight="15" outlineLevelCol="1" x14ac:dyDescent="0.25"/>
  <cols>
    <col min="1" max="1" width="40.140625" style="29" customWidth="1"/>
    <col min="2" max="2" width="12.28515625" style="29" customWidth="1"/>
    <col min="3" max="7" width="13.7109375" style="29" customWidth="1"/>
    <col min="8" max="11" width="14.7109375" style="29" customWidth="1"/>
    <col min="12" max="12" width="13.42578125" style="29" customWidth="1"/>
    <col min="13" max="13" width="13" style="2" hidden="1" customWidth="1" outlineLevel="1"/>
    <col min="14" max="14" width="16.140625" style="708" hidden="1" customWidth="1" outlineLevel="1"/>
    <col min="15" max="15" width="14.140625" style="708" hidden="1" customWidth="1" outlineLevel="1"/>
    <col min="16" max="16" width="16.7109375" style="708" hidden="1" customWidth="1" outlineLevel="1"/>
    <col min="17" max="17" width="14.5703125" style="708" hidden="1" customWidth="1" outlineLevel="1"/>
    <col min="18" max="18" width="12" style="708" hidden="1" customWidth="1" outlineLevel="1"/>
    <col min="19" max="19" width="13.42578125" style="708" hidden="1" customWidth="1" outlineLevel="1"/>
    <col min="20" max="20" width="12" style="29" hidden="1" customWidth="1" outlineLevel="1"/>
    <col min="21" max="21" width="16.140625" style="708" hidden="1" customWidth="1" outlineLevel="1"/>
    <col min="22" max="22" width="16.28515625" style="29" hidden="1" customWidth="1" outlineLevel="1"/>
    <col min="23" max="24" width="9.140625" style="29" hidden="1" customWidth="1" outlineLevel="1"/>
    <col min="25" max="25" width="16.140625" style="29" customWidth="1" collapsed="1"/>
    <col min="26" max="26" width="14" style="29" customWidth="1"/>
    <col min="27" max="27" width="14.42578125" style="29" customWidth="1"/>
    <col min="28" max="28" width="15" style="29" customWidth="1"/>
    <col min="29" max="29" width="15.140625" style="29" customWidth="1"/>
    <col min="30" max="16384" width="9.140625" style="29"/>
  </cols>
  <sheetData>
    <row r="1" spans="1:29" x14ac:dyDescent="0.25">
      <c r="A1" s="1439" t="s">
        <v>352</v>
      </c>
      <c r="B1" s="1439"/>
      <c r="C1" s="1439"/>
      <c r="D1" s="1439"/>
      <c r="E1" s="1439"/>
      <c r="F1" s="1439"/>
      <c r="G1" s="1439"/>
      <c r="H1" s="1439"/>
      <c r="I1" s="1439"/>
      <c r="J1" s="1439"/>
      <c r="K1" s="1439"/>
      <c r="L1" s="1439"/>
      <c r="M1" s="1439"/>
      <c r="N1" s="1439"/>
      <c r="O1" s="1439"/>
      <c r="P1" s="1439"/>
      <c r="Q1" s="1439"/>
      <c r="R1" s="1439"/>
      <c r="S1" s="1439"/>
      <c r="T1" s="1439"/>
      <c r="U1" s="1439"/>
      <c r="V1" s="1439"/>
      <c r="W1" s="1439"/>
      <c r="X1" s="1439"/>
      <c r="Y1" s="1439"/>
      <c r="Z1" s="1439"/>
      <c r="AA1" s="1439"/>
      <c r="AB1" s="1439"/>
      <c r="AC1" s="1439"/>
    </row>
    <row r="2" spans="1:29" x14ac:dyDescent="0.25">
      <c r="A2" s="1439" t="s">
        <v>353</v>
      </c>
      <c r="B2" s="1439"/>
      <c r="C2" s="1439"/>
      <c r="D2" s="1439"/>
      <c r="E2" s="1439"/>
      <c r="F2" s="1439"/>
      <c r="G2" s="1439"/>
      <c r="H2" s="1439"/>
      <c r="I2" s="1439"/>
      <c r="J2" s="1439"/>
      <c r="K2" s="1439"/>
      <c r="L2" s="1439"/>
      <c r="M2" s="1439"/>
      <c r="N2" s="1439"/>
      <c r="O2" s="1439"/>
      <c r="P2" s="1439"/>
      <c r="Q2" s="1439"/>
      <c r="R2" s="1439"/>
      <c r="S2" s="1439"/>
      <c r="T2" s="1439"/>
      <c r="U2" s="1439"/>
      <c r="V2" s="1439"/>
      <c r="W2" s="1439"/>
      <c r="X2" s="1439"/>
      <c r="Y2" s="1439"/>
      <c r="Z2" s="1439"/>
      <c r="AA2" s="1439"/>
      <c r="AB2" s="1439"/>
      <c r="AC2" s="1439"/>
    </row>
    <row r="3" spans="1:29" ht="15.75" thickBot="1" x14ac:dyDescent="0.3">
      <c r="A3" s="1440" t="str">
        <f>'1041-MPDO'!A3:Z3</f>
        <v>For the Period October 1-31, 2021</v>
      </c>
      <c r="B3" s="1440"/>
      <c r="C3" s="1440"/>
      <c r="D3" s="1440"/>
      <c r="E3" s="1440"/>
      <c r="F3" s="1440"/>
      <c r="G3" s="1440"/>
      <c r="H3" s="1440"/>
      <c r="I3" s="1440"/>
      <c r="J3" s="1440"/>
      <c r="K3" s="1440"/>
      <c r="L3" s="1440"/>
      <c r="M3" s="1440"/>
      <c r="N3" s="1440"/>
      <c r="O3" s="1440"/>
      <c r="P3" s="1440"/>
      <c r="Q3" s="1440"/>
      <c r="R3" s="1440"/>
      <c r="S3" s="1440"/>
      <c r="T3" s="1440"/>
      <c r="U3" s="1440"/>
      <c r="V3" s="1440"/>
      <c r="W3" s="1440"/>
      <c r="X3" s="1440"/>
      <c r="Y3" s="1440"/>
      <c r="Z3" s="1440"/>
      <c r="AA3" s="1440"/>
      <c r="AB3" s="1440"/>
      <c r="AC3" s="1440"/>
    </row>
    <row r="4" spans="1:29" ht="27" thickTop="1" x14ac:dyDescent="0.25">
      <c r="A4" s="962" t="s">
        <v>347</v>
      </c>
      <c r="B4" s="464" t="s">
        <v>2</v>
      </c>
      <c r="C4" s="464" t="s">
        <v>133</v>
      </c>
      <c r="D4" s="464" t="s">
        <v>1337</v>
      </c>
      <c r="E4" s="1073" t="s">
        <v>1204</v>
      </c>
      <c r="F4" s="1073" t="s">
        <v>1204</v>
      </c>
      <c r="G4" s="1073" t="s">
        <v>1204</v>
      </c>
      <c r="H4" s="1073" t="s">
        <v>1204</v>
      </c>
      <c r="I4" s="463" t="s">
        <v>1</v>
      </c>
      <c r="J4" s="463" t="s">
        <v>316</v>
      </c>
      <c r="K4" s="463" t="s">
        <v>314</v>
      </c>
      <c r="L4" s="465" t="s">
        <v>346</v>
      </c>
      <c r="M4" s="466"/>
      <c r="N4" s="466"/>
      <c r="O4" s="466"/>
      <c r="P4" s="466"/>
      <c r="Q4" s="467"/>
      <c r="R4" s="467"/>
      <c r="S4" s="467"/>
      <c r="T4" s="467"/>
      <c r="U4" s="467"/>
      <c r="V4" s="467"/>
      <c r="W4" s="467"/>
      <c r="X4" s="467"/>
      <c r="Y4" s="465" t="s">
        <v>316</v>
      </c>
      <c r="Z4" s="465" t="s">
        <v>348</v>
      </c>
      <c r="AA4" s="465" t="s">
        <v>1</v>
      </c>
      <c r="AB4" s="465" t="s">
        <v>131</v>
      </c>
      <c r="AC4" s="465" t="s">
        <v>131</v>
      </c>
    </row>
    <row r="5" spans="1:29" ht="15.75" thickBot="1" x14ac:dyDescent="0.3">
      <c r="A5" s="963"/>
      <c r="B5" s="468" t="s">
        <v>3</v>
      </c>
      <c r="C5" s="468" t="s">
        <v>134</v>
      </c>
      <c r="D5" s="1206">
        <v>44389</v>
      </c>
      <c r="E5" s="1206">
        <v>44480</v>
      </c>
      <c r="F5" s="1009" t="s">
        <v>1331</v>
      </c>
      <c r="G5" s="1009" t="s">
        <v>1354</v>
      </c>
      <c r="H5" s="1009" t="s">
        <v>1184</v>
      </c>
      <c r="I5" s="469" t="s">
        <v>314</v>
      </c>
      <c r="J5" s="469" t="s">
        <v>314</v>
      </c>
      <c r="K5" s="469" t="s">
        <v>315</v>
      </c>
      <c r="L5" s="470" t="s">
        <v>315</v>
      </c>
      <c r="M5" s="471" t="s">
        <v>0</v>
      </c>
      <c r="N5" s="471" t="s">
        <v>120</v>
      </c>
      <c r="O5" s="471" t="s">
        <v>121</v>
      </c>
      <c r="P5" s="471" t="s">
        <v>122</v>
      </c>
      <c r="Q5" s="471" t="s">
        <v>123</v>
      </c>
      <c r="R5" s="471" t="s">
        <v>124</v>
      </c>
      <c r="S5" s="471" t="s">
        <v>125</v>
      </c>
      <c r="T5" s="471" t="s">
        <v>126</v>
      </c>
      <c r="U5" s="471" t="s">
        <v>127</v>
      </c>
      <c r="V5" s="471" t="s">
        <v>128</v>
      </c>
      <c r="W5" s="471" t="s">
        <v>129</v>
      </c>
      <c r="X5" s="471" t="s">
        <v>130</v>
      </c>
      <c r="Y5" s="470" t="s">
        <v>317</v>
      </c>
      <c r="Z5" s="470" t="s">
        <v>315</v>
      </c>
      <c r="AA5" s="470" t="s">
        <v>317</v>
      </c>
      <c r="AB5" s="470" t="s">
        <v>314</v>
      </c>
      <c r="AC5" s="470" t="s">
        <v>132</v>
      </c>
    </row>
    <row r="6" spans="1:29" ht="30.75" thickTop="1" x14ac:dyDescent="0.25">
      <c r="A6" s="961" t="s">
        <v>711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7"/>
      <c r="N6" s="267"/>
      <c r="O6" s="267"/>
      <c r="P6" s="267"/>
      <c r="Q6" s="267"/>
      <c r="R6" s="267"/>
      <c r="S6" s="267"/>
      <c r="T6" s="268"/>
      <c r="U6" s="267"/>
      <c r="V6" s="268"/>
      <c r="W6" s="268"/>
      <c r="X6" s="268"/>
      <c r="Y6" s="268"/>
      <c r="Z6" s="268"/>
      <c r="AA6" s="268"/>
      <c r="AB6" s="268"/>
      <c r="AC6" s="268"/>
    </row>
    <row r="7" spans="1:29" x14ac:dyDescent="0.25">
      <c r="A7" s="875" t="s">
        <v>658</v>
      </c>
      <c r="B7" s="473"/>
      <c r="C7" s="99"/>
      <c r="D7" s="929"/>
      <c r="E7" s="929"/>
      <c r="F7" s="929"/>
      <c r="G7" s="929"/>
      <c r="H7" s="929"/>
      <c r="I7" s="99"/>
      <c r="J7" s="99"/>
      <c r="K7" s="99"/>
      <c r="L7" s="43"/>
      <c r="M7" s="90"/>
      <c r="N7" s="673"/>
      <c r="O7" s="673"/>
      <c r="P7" s="673"/>
      <c r="Q7" s="673"/>
      <c r="R7" s="673"/>
      <c r="S7" s="673"/>
      <c r="T7" s="99"/>
      <c r="U7" s="673"/>
      <c r="V7" s="99"/>
      <c r="W7" s="99"/>
      <c r="X7" s="99"/>
      <c r="Y7" s="99"/>
      <c r="Z7" s="99"/>
      <c r="AA7" s="718"/>
      <c r="AB7" s="43"/>
      <c r="AC7" s="99"/>
    </row>
    <row r="8" spans="1:29" x14ac:dyDescent="0.25">
      <c r="A8" s="1198" t="s">
        <v>1218</v>
      </c>
      <c r="B8" s="502" t="s">
        <v>6</v>
      </c>
      <c r="C8" s="40">
        <f>1329642</f>
        <v>1329642</v>
      </c>
      <c r="D8" s="989">
        <f>123195</f>
        <v>123195</v>
      </c>
      <c r="E8" s="989"/>
      <c r="F8" s="989"/>
      <c r="G8" s="989"/>
      <c r="H8" s="989"/>
      <c r="I8" s="474">
        <f>SUM(C8:H8)</f>
        <v>1452837</v>
      </c>
      <c r="J8" s="474">
        <f>I8/12*9</f>
        <v>1089627.75</v>
      </c>
      <c r="K8" s="474">
        <f>I8/12</f>
        <v>121069.75</v>
      </c>
      <c r="L8" s="43">
        <f>J8+K8</f>
        <v>1210697.5</v>
      </c>
      <c r="M8" s="90">
        <v>107768</v>
      </c>
      <c r="N8" s="673">
        <v>107768</v>
      </c>
      <c r="O8" s="673">
        <v>107768</v>
      </c>
      <c r="P8" s="673">
        <v>119732</v>
      </c>
      <c r="Q8" s="1170">
        <v>110759</v>
      </c>
      <c r="R8" s="1170">
        <v>110759</v>
      </c>
      <c r="S8" s="673">
        <v>110845.01</v>
      </c>
      <c r="T8" s="673">
        <v>110848</v>
      </c>
      <c r="U8" s="673">
        <v>110848</v>
      </c>
      <c r="V8" s="673">
        <v>110848</v>
      </c>
      <c r="W8" s="99"/>
      <c r="X8" s="99"/>
      <c r="Y8" s="475">
        <f>M8+N8+O8+P8+Q8+R8+S8+T8+U8</f>
        <v>997095.01</v>
      </c>
      <c r="Z8" s="475">
        <f>V8</f>
        <v>110848</v>
      </c>
      <c r="AA8" s="718">
        <f>Y8+Z8</f>
        <v>1107943.01</v>
      </c>
      <c r="AB8" s="43">
        <f t="shared" ref="AB8" si="0">L8-AA8</f>
        <v>102754.48999999999</v>
      </c>
      <c r="AC8" s="475">
        <f>I8-AA8</f>
        <v>344893.99</v>
      </c>
    </row>
    <row r="9" spans="1:29" hidden="1" x14ac:dyDescent="0.25">
      <c r="A9" s="200" t="s">
        <v>701</v>
      </c>
      <c r="B9" s="502"/>
      <c r="C9" s="40"/>
      <c r="D9" s="989"/>
      <c r="E9" s="989"/>
      <c r="F9" s="989"/>
      <c r="G9" s="989"/>
      <c r="H9" s="989"/>
      <c r="I9" s="474">
        <f t="shared" ref="I9:I29" si="1">SUM(C9:H9)</f>
        <v>0</v>
      </c>
      <c r="J9" s="474">
        <f t="shared" ref="J9:J29" si="2">I9/12*9</f>
        <v>0</v>
      </c>
      <c r="K9" s="474"/>
      <c r="L9" s="43"/>
      <c r="M9" s="90"/>
      <c r="N9" s="673"/>
      <c r="O9" s="673"/>
      <c r="P9" s="673"/>
      <c r="Q9" s="673"/>
      <c r="R9" s="673"/>
      <c r="S9" s="673"/>
      <c r="T9" s="673"/>
      <c r="U9" s="673"/>
      <c r="V9" s="99"/>
      <c r="W9" s="99"/>
      <c r="X9" s="99"/>
      <c r="Y9" s="475">
        <f t="shared" ref="Y9:Y29" si="3">M9+N9+O9+P9+Q9+R9+S9+T9+U9</f>
        <v>0</v>
      </c>
      <c r="Z9" s="475">
        <f t="shared" ref="Z9:Z29" si="4">V9</f>
        <v>0</v>
      </c>
      <c r="AA9" s="718"/>
      <c r="AB9" s="718"/>
      <c r="AC9" s="475"/>
    </row>
    <row r="10" spans="1:29" x14ac:dyDescent="0.25">
      <c r="A10" s="498" t="s">
        <v>661</v>
      </c>
      <c r="B10" s="503"/>
      <c r="C10" s="52"/>
      <c r="D10" s="720"/>
      <c r="E10" s="720"/>
      <c r="F10" s="720"/>
      <c r="G10" s="720"/>
      <c r="H10" s="720"/>
      <c r="I10" s="474">
        <f t="shared" si="1"/>
        <v>0</v>
      </c>
      <c r="J10" s="474">
        <f t="shared" si="2"/>
        <v>0</v>
      </c>
      <c r="K10" s="474"/>
      <c r="L10" s="43"/>
      <c r="M10" s="90"/>
      <c r="N10" s="673"/>
      <c r="O10" s="673"/>
      <c r="P10" s="673"/>
      <c r="Q10" s="673"/>
      <c r="R10" s="673"/>
      <c r="S10" s="673"/>
      <c r="T10" s="673"/>
      <c r="U10" s="673"/>
      <c r="V10" s="99"/>
      <c r="W10" s="99"/>
      <c r="X10" s="99"/>
      <c r="Y10" s="475">
        <f t="shared" si="3"/>
        <v>0</v>
      </c>
      <c r="Z10" s="475">
        <f t="shared" si="4"/>
        <v>0</v>
      </c>
      <c r="AA10" s="718"/>
      <c r="AB10" s="718"/>
      <c r="AC10" s="475"/>
    </row>
    <row r="11" spans="1:29" x14ac:dyDescent="0.25">
      <c r="A11" s="200" t="s">
        <v>662</v>
      </c>
      <c r="B11" s="503" t="s">
        <v>11</v>
      </c>
      <c r="C11" s="52">
        <f>96000</f>
        <v>96000</v>
      </c>
      <c r="D11" s="720">
        <f>10000</f>
        <v>10000</v>
      </c>
      <c r="E11" s="720"/>
      <c r="F11" s="720"/>
      <c r="G11" s="720"/>
      <c r="H11" s="720"/>
      <c r="I11" s="474">
        <f t="shared" si="1"/>
        <v>106000</v>
      </c>
      <c r="J11" s="474">
        <f t="shared" si="2"/>
        <v>79500</v>
      </c>
      <c r="K11" s="474">
        <f t="shared" ref="K11:K28" si="5">I11/12</f>
        <v>8833.3333333333339</v>
      </c>
      <c r="L11" s="43">
        <f t="shared" ref="L11:L28" si="6">J11+K11</f>
        <v>88333.333333333328</v>
      </c>
      <c r="M11" s="90">
        <v>8000</v>
      </c>
      <c r="N11" s="673">
        <v>8000</v>
      </c>
      <c r="O11" s="673">
        <v>8000</v>
      </c>
      <c r="P11" s="673">
        <v>8000</v>
      </c>
      <c r="Q11" s="673">
        <v>8000</v>
      </c>
      <c r="R11" s="673">
        <v>8000</v>
      </c>
      <c r="S11" s="673">
        <v>8000</v>
      </c>
      <c r="T11" s="673">
        <v>8000</v>
      </c>
      <c r="U11" s="673">
        <v>8000</v>
      </c>
      <c r="V11" s="99">
        <v>8000</v>
      </c>
      <c r="W11" s="99"/>
      <c r="X11" s="99"/>
      <c r="Y11" s="475">
        <f t="shared" si="3"/>
        <v>72000</v>
      </c>
      <c r="Z11" s="475">
        <f t="shared" si="4"/>
        <v>8000</v>
      </c>
      <c r="AA11" s="718">
        <f t="shared" ref="AA11:AA20" si="7">Y11+Z11</f>
        <v>80000</v>
      </c>
      <c r="AB11" s="718">
        <f t="shared" ref="AB11:AB29" si="8">L11-AA11</f>
        <v>8333.3333333333285</v>
      </c>
      <c r="AC11" s="475">
        <f t="shared" ref="AC11:AC29" si="9">I11-AA11</f>
        <v>26000</v>
      </c>
    </row>
    <row r="12" spans="1:29" x14ac:dyDescent="0.25">
      <c r="A12" s="200" t="s">
        <v>663</v>
      </c>
      <c r="B12" s="502" t="s">
        <v>13</v>
      </c>
      <c r="C12" s="52">
        <v>72000</v>
      </c>
      <c r="D12" s="720"/>
      <c r="E12" s="720"/>
      <c r="F12" s="720"/>
      <c r="G12" s="720"/>
      <c r="H12" s="720"/>
      <c r="I12" s="474">
        <f t="shared" si="1"/>
        <v>72000</v>
      </c>
      <c r="J12" s="474">
        <f t="shared" si="2"/>
        <v>54000</v>
      </c>
      <c r="K12" s="474">
        <f t="shared" si="5"/>
        <v>6000</v>
      </c>
      <c r="L12" s="43">
        <f t="shared" si="6"/>
        <v>60000</v>
      </c>
      <c r="M12" s="90">
        <v>6000</v>
      </c>
      <c r="N12" s="673">
        <v>6000</v>
      </c>
      <c r="O12" s="673">
        <v>6000</v>
      </c>
      <c r="P12" s="673">
        <v>6000</v>
      </c>
      <c r="Q12" s="673">
        <v>6000</v>
      </c>
      <c r="R12" s="673">
        <v>6000</v>
      </c>
      <c r="S12" s="673">
        <v>6000</v>
      </c>
      <c r="T12" s="673">
        <v>6000</v>
      </c>
      <c r="U12" s="1257">
        <v>6000</v>
      </c>
      <c r="V12" s="99">
        <v>6000</v>
      </c>
      <c r="W12" s="99"/>
      <c r="X12" s="99"/>
      <c r="Y12" s="475">
        <f t="shared" si="3"/>
        <v>54000</v>
      </c>
      <c r="Z12" s="475">
        <f t="shared" si="4"/>
        <v>6000</v>
      </c>
      <c r="AA12" s="718">
        <f t="shared" si="7"/>
        <v>60000</v>
      </c>
      <c r="AB12" s="718">
        <f t="shared" si="8"/>
        <v>0</v>
      </c>
      <c r="AC12" s="475">
        <f t="shared" si="9"/>
        <v>12000</v>
      </c>
    </row>
    <row r="13" spans="1:29" x14ac:dyDescent="0.25">
      <c r="A13" s="200" t="s">
        <v>664</v>
      </c>
      <c r="B13" s="504" t="s">
        <v>15</v>
      </c>
      <c r="C13" s="52">
        <v>72000</v>
      </c>
      <c r="D13" s="720"/>
      <c r="E13" s="720"/>
      <c r="F13" s="720"/>
      <c r="G13" s="720"/>
      <c r="H13" s="720"/>
      <c r="I13" s="474">
        <f t="shared" si="1"/>
        <v>72000</v>
      </c>
      <c r="J13" s="474">
        <f t="shared" si="2"/>
        <v>54000</v>
      </c>
      <c r="K13" s="474">
        <f t="shared" si="5"/>
        <v>6000</v>
      </c>
      <c r="L13" s="43">
        <f t="shared" si="6"/>
        <v>60000</v>
      </c>
      <c r="M13" s="90">
        <v>6000</v>
      </c>
      <c r="N13" s="673">
        <v>6000</v>
      </c>
      <c r="O13" s="673">
        <v>6000</v>
      </c>
      <c r="P13" s="673">
        <v>6000</v>
      </c>
      <c r="Q13" s="673">
        <v>6000</v>
      </c>
      <c r="R13" s="673">
        <v>6000</v>
      </c>
      <c r="S13" s="673">
        <v>6000</v>
      </c>
      <c r="T13" s="673">
        <v>6000</v>
      </c>
      <c r="U13" s="1257">
        <v>6000</v>
      </c>
      <c r="V13" s="99">
        <v>6000</v>
      </c>
      <c r="W13" s="99"/>
      <c r="X13" s="99"/>
      <c r="Y13" s="475">
        <f t="shared" si="3"/>
        <v>54000</v>
      </c>
      <c r="Z13" s="475">
        <f t="shared" si="4"/>
        <v>6000</v>
      </c>
      <c r="AA13" s="718">
        <f t="shared" si="7"/>
        <v>60000</v>
      </c>
      <c r="AB13" s="718">
        <f t="shared" si="8"/>
        <v>0</v>
      </c>
      <c r="AC13" s="475">
        <f t="shared" si="9"/>
        <v>12000</v>
      </c>
    </row>
    <row r="14" spans="1:29" x14ac:dyDescent="0.25">
      <c r="A14" s="200" t="s">
        <v>665</v>
      </c>
      <c r="B14" s="503" t="s">
        <v>17</v>
      </c>
      <c r="C14" s="52">
        <v>24000</v>
      </c>
      <c r="D14" s="720"/>
      <c r="E14" s="720"/>
      <c r="F14" s="720"/>
      <c r="G14" s="720"/>
      <c r="H14" s="720"/>
      <c r="I14" s="474">
        <f t="shared" si="1"/>
        <v>24000</v>
      </c>
      <c r="J14" s="474">
        <f>I14/12*11</f>
        <v>22000</v>
      </c>
      <c r="K14" s="474">
        <f t="shared" si="5"/>
        <v>2000</v>
      </c>
      <c r="L14" s="43">
        <f t="shared" si="6"/>
        <v>24000</v>
      </c>
      <c r="M14" s="90">
        <v>16000</v>
      </c>
      <c r="N14" s="673"/>
      <c r="O14" s="673"/>
      <c r="P14" s="673"/>
      <c r="Q14" s="673"/>
      <c r="R14" s="673"/>
      <c r="S14" s="673"/>
      <c r="T14" s="99"/>
      <c r="U14" s="673"/>
      <c r="V14" s="1282">
        <v>3300</v>
      </c>
      <c r="W14" s="99"/>
      <c r="X14" s="99"/>
      <c r="Y14" s="475">
        <f t="shared" si="3"/>
        <v>16000</v>
      </c>
      <c r="Z14" s="475">
        <f t="shared" si="4"/>
        <v>3300</v>
      </c>
      <c r="AA14" s="718">
        <f t="shared" si="7"/>
        <v>19300</v>
      </c>
      <c r="AB14" s="718">
        <f t="shared" si="8"/>
        <v>4700</v>
      </c>
      <c r="AC14" s="475">
        <f t="shared" si="9"/>
        <v>4700</v>
      </c>
    </row>
    <row r="15" spans="1:29" x14ac:dyDescent="0.25">
      <c r="A15" s="200" t="s">
        <v>666</v>
      </c>
      <c r="B15" s="503" t="s">
        <v>21</v>
      </c>
      <c r="C15" s="52"/>
      <c r="D15" s="720"/>
      <c r="E15" s="720"/>
      <c r="F15" s="720"/>
      <c r="G15" s="720"/>
      <c r="H15" s="720"/>
      <c r="I15" s="474">
        <f t="shared" si="1"/>
        <v>0</v>
      </c>
      <c r="J15" s="474">
        <f t="shared" si="2"/>
        <v>0</v>
      </c>
      <c r="K15" s="474">
        <f t="shared" si="5"/>
        <v>0</v>
      </c>
      <c r="L15" s="43">
        <f t="shared" si="6"/>
        <v>0</v>
      </c>
      <c r="M15" s="90"/>
      <c r="N15" s="673"/>
      <c r="O15" s="673"/>
      <c r="P15" s="673"/>
      <c r="Q15" s="673"/>
      <c r="R15" s="673"/>
      <c r="S15" s="673"/>
      <c r="T15" s="99"/>
      <c r="U15" s="673"/>
      <c r="V15" s="99"/>
      <c r="W15" s="99"/>
      <c r="X15" s="99"/>
      <c r="Y15" s="475">
        <f t="shared" si="3"/>
        <v>0</v>
      </c>
      <c r="Z15" s="475">
        <f t="shared" si="4"/>
        <v>0</v>
      </c>
      <c r="AA15" s="718">
        <f t="shared" si="7"/>
        <v>0</v>
      </c>
      <c r="AB15" s="718">
        <f t="shared" si="8"/>
        <v>0</v>
      </c>
      <c r="AC15" s="475">
        <f t="shared" si="9"/>
        <v>0</v>
      </c>
    </row>
    <row r="16" spans="1:29" x14ac:dyDescent="0.25">
      <c r="A16" s="200" t="s">
        <v>667</v>
      </c>
      <c r="B16" s="502" t="s">
        <v>23</v>
      </c>
      <c r="C16" s="52">
        <f>110848</f>
        <v>110848</v>
      </c>
      <c r="D16" s="720">
        <f>24639</f>
        <v>24639</v>
      </c>
      <c r="E16" s="720"/>
      <c r="F16" s="720"/>
      <c r="G16" s="720"/>
      <c r="H16" s="720"/>
      <c r="I16" s="474">
        <f t="shared" si="1"/>
        <v>135487</v>
      </c>
      <c r="J16" s="474">
        <f t="shared" si="2"/>
        <v>101615.25</v>
      </c>
      <c r="K16" s="474">
        <f t="shared" si="5"/>
        <v>11290.583333333334</v>
      </c>
      <c r="L16" s="43">
        <f t="shared" si="6"/>
        <v>112905.83333333333</v>
      </c>
      <c r="M16" s="90"/>
      <c r="N16" s="673"/>
      <c r="O16" s="673"/>
      <c r="P16" s="673"/>
      <c r="Q16" s="673"/>
      <c r="R16" s="673"/>
      <c r="S16" s="673"/>
      <c r="T16" s="99"/>
      <c r="U16" s="673"/>
      <c r="V16" s="99"/>
      <c r="W16" s="99"/>
      <c r="X16" s="99"/>
      <c r="Y16" s="475">
        <f t="shared" si="3"/>
        <v>0</v>
      </c>
      <c r="Z16" s="475">
        <f t="shared" si="4"/>
        <v>0</v>
      </c>
      <c r="AA16" s="718">
        <f t="shared" si="7"/>
        <v>0</v>
      </c>
      <c r="AB16" s="718">
        <f t="shared" si="8"/>
        <v>112905.83333333333</v>
      </c>
      <c r="AC16" s="475">
        <f t="shared" si="9"/>
        <v>135487</v>
      </c>
    </row>
    <row r="17" spans="1:29" x14ac:dyDescent="0.25">
      <c r="A17" s="200" t="s">
        <v>668</v>
      </c>
      <c r="B17" s="502" t="s">
        <v>26</v>
      </c>
      <c r="C17" s="52">
        <v>20000</v>
      </c>
      <c r="D17" s="720">
        <v>5000</v>
      </c>
      <c r="E17" s="720"/>
      <c r="F17" s="720"/>
      <c r="G17" s="720"/>
      <c r="H17" s="720"/>
      <c r="I17" s="474">
        <f t="shared" si="1"/>
        <v>25000</v>
      </c>
      <c r="J17" s="474">
        <f t="shared" si="2"/>
        <v>18750</v>
      </c>
      <c r="K17" s="474">
        <f t="shared" si="5"/>
        <v>2083.3333333333335</v>
      </c>
      <c r="L17" s="43">
        <f t="shared" si="6"/>
        <v>20833.333333333332</v>
      </c>
      <c r="M17" s="90"/>
      <c r="N17" s="673"/>
      <c r="O17" s="673"/>
      <c r="P17" s="673"/>
      <c r="Q17" s="673"/>
      <c r="R17" s="673"/>
      <c r="S17" s="673"/>
      <c r="T17" s="99"/>
      <c r="U17" s="673"/>
      <c r="V17" s="99"/>
      <c r="W17" s="99"/>
      <c r="X17" s="99"/>
      <c r="Y17" s="475">
        <f t="shared" si="3"/>
        <v>0</v>
      </c>
      <c r="Z17" s="475">
        <f t="shared" si="4"/>
        <v>0</v>
      </c>
      <c r="AA17" s="718">
        <f t="shared" si="7"/>
        <v>0</v>
      </c>
      <c r="AB17" s="718">
        <f t="shared" si="8"/>
        <v>20833.333333333332</v>
      </c>
      <c r="AC17" s="475">
        <f t="shared" si="9"/>
        <v>25000</v>
      </c>
    </row>
    <row r="18" spans="1:29" x14ac:dyDescent="0.25">
      <c r="A18" s="455" t="s">
        <v>669</v>
      </c>
      <c r="B18" s="502" t="s">
        <v>27</v>
      </c>
      <c r="C18" s="52"/>
      <c r="D18" s="720"/>
      <c r="E18" s="720"/>
      <c r="F18" s="720"/>
      <c r="G18" s="720"/>
      <c r="H18" s="720"/>
      <c r="I18" s="474">
        <f t="shared" si="1"/>
        <v>0</v>
      </c>
      <c r="J18" s="474">
        <f t="shared" si="2"/>
        <v>0</v>
      </c>
      <c r="K18" s="474">
        <f t="shared" si="5"/>
        <v>0</v>
      </c>
      <c r="L18" s="43">
        <f t="shared" si="6"/>
        <v>0</v>
      </c>
      <c r="M18" s="90"/>
      <c r="N18" s="673"/>
      <c r="O18" s="673"/>
      <c r="P18" s="673"/>
      <c r="Q18" s="673"/>
      <c r="R18" s="673"/>
      <c r="S18" s="673"/>
      <c r="T18" s="99"/>
      <c r="U18" s="673"/>
      <c r="V18" s="99"/>
      <c r="W18" s="99"/>
      <c r="X18" s="99"/>
      <c r="Y18" s="475">
        <f t="shared" si="3"/>
        <v>0</v>
      </c>
      <c r="Z18" s="475">
        <f t="shared" si="4"/>
        <v>0</v>
      </c>
      <c r="AA18" s="718">
        <f t="shared" si="7"/>
        <v>0</v>
      </c>
      <c r="AB18" s="718">
        <f t="shared" si="8"/>
        <v>0</v>
      </c>
      <c r="AC18" s="475">
        <f t="shared" si="9"/>
        <v>0</v>
      </c>
    </row>
    <row r="19" spans="1:29" x14ac:dyDescent="0.25">
      <c r="A19" s="281" t="s">
        <v>670</v>
      </c>
      <c r="B19" s="411"/>
      <c r="C19" s="52">
        <f>110759</f>
        <v>110759</v>
      </c>
      <c r="D19" s="720"/>
      <c r="E19" s="720"/>
      <c r="F19" s="720"/>
      <c r="G19" s="720"/>
      <c r="H19" s="720"/>
      <c r="I19" s="474">
        <f t="shared" si="1"/>
        <v>110759</v>
      </c>
      <c r="J19" s="474">
        <f t="shared" si="2"/>
        <v>83069.25</v>
      </c>
      <c r="K19" s="474">
        <f t="shared" si="5"/>
        <v>9229.9166666666661</v>
      </c>
      <c r="L19" s="43">
        <f t="shared" si="6"/>
        <v>92299.166666666672</v>
      </c>
      <c r="M19" s="90"/>
      <c r="N19" s="673"/>
      <c r="O19" s="673"/>
      <c r="P19" s="673"/>
      <c r="Q19" s="1156">
        <v>110759</v>
      </c>
      <c r="R19" s="673"/>
      <c r="S19" s="673"/>
      <c r="T19" s="99"/>
      <c r="U19" s="673"/>
      <c r="V19" s="99"/>
      <c r="W19" s="99"/>
      <c r="X19" s="99"/>
      <c r="Y19" s="475">
        <f t="shared" si="3"/>
        <v>110759</v>
      </c>
      <c r="Z19" s="475">
        <f t="shared" si="4"/>
        <v>0</v>
      </c>
      <c r="AA19" s="718">
        <f t="shared" si="7"/>
        <v>110759</v>
      </c>
      <c r="AB19" s="718">
        <f t="shared" si="8"/>
        <v>-18459.833333333328</v>
      </c>
      <c r="AC19" s="475">
        <f t="shared" si="9"/>
        <v>0</v>
      </c>
    </row>
    <row r="20" spans="1:29" x14ac:dyDescent="0.25">
      <c r="A20" s="281" t="s">
        <v>671</v>
      </c>
      <c r="B20" s="502"/>
      <c r="C20" s="52">
        <v>20000</v>
      </c>
      <c r="D20" s="720">
        <v>5000</v>
      </c>
      <c r="E20" s="720"/>
      <c r="F20" s="720"/>
      <c r="G20" s="720"/>
      <c r="H20" s="720"/>
      <c r="I20" s="474">
        <f t="shared" si="1"/>
        <v>25000</v>
      </c>
      <c r="J20" s="474">
        <f t="shared" si="2"/>
        <v>18750</v>
      </c>
      <c r="K20" s="474">
        <f t="shared" si="5"/>
        <v>2083.3333333333335</v>
      </c>
      <c r="L20" s="43">
        <f t="shared" si="6"/>
        <v>20833.333333333332</v>
      </c>
      <c r="M20" s="90"/>
      <c r="N20" s="673"/>
      <c r="O20" s="673"/>
      <c r="P20" s="673"/>
      <c r="Q20" s="673"/>
      <c r="R20" s="673"/>
      <c r="S20" s="673"/>
      <c r="T20" s="99"/>
      <c r="U20" s="673"/>
      <c r="V20" s="99"/>
      <c r="W20" s="99"/>
      <c r="X20" s="99"/>
      <c r="Y20" s="475">
        <f t="shared" si="3"/>
        <v>0</v>
      </c>
      <c r="Z20" s="475">
        <f t="shared" si="4"/>
        <v>0</v>
      </c>
      <c r="AA20" s="718">
        <f t="shared" si="7"/>
        <v>0</v>
      </c>
      <c r="AB20" s="718">
        <f t="shared" si="8"/>
        <v>20833.333333333332</v>
      </c>
      <c r="AC20" s="475">
        <f t="shared" si="9"/>
        <v>25000</v>
      </c>
    </row>
    <row r="21" spans="1:29" x14ac:dyDescent="0.25">
      <c r="A21" s="291" t="s">
        <v>702</v>
      </c>
      <c r="B21" s="502"/>
      <c r="C21" s="52"/>
      <c r="D21" s="720"/>
      <c r="E21" s="720"/>
      <c r="F21" s="720"/>
      <c r="G21" s="720"/>
      <c r="H21" s="720"/>
      <c r="I21" s="474">
        <f t="shared" si="1"/>
        <v>0</v>
      </c>
      <c r="J21" s="474">
        <f t="shared" si="2"/>
        <v>0</v>
      </c>
      <c r="K21" s="474">
        <f t="shared" si="5"/>
        <v>0</v>
      </c>
      <c r="L21" s="43">
        <f t="shared" si="6"/>
        <v>0</v>
      </c>
      <c r="M21" s="90"/>
      <c r="N21" s="673"/>
      <c r="O21" s="673"/>
      <c r="P21" s="673"/>
      <c r="Q21" s="673"/>
      <c r="R21" s="673"/>
      <c r="S21" s="673"/>
      <c r="T21" s="99"/>
      <c r="U21" s="673"/>
      <c r="V21" s="99"/>
      <c r="W21" s="99"/>
      <c r="X21" s="99"/>
      <c r="Y21" s="475">
        <f t="shared" si="3"/>
        <v>0</v>
      </c>
      <c r="Z21" s="475">
        <f t="shared" si="4"/>
        <v>0</v>
      </c>
      <c r="AA21" s="718">
        <f t="shared" ref="AA21:AA29" si="10">Y21+Z21</f>
        <v>0</v>
      </c>
      <c r="AB21" s="718">
        <f t="shared" si="8"/>
        <v>0</v>
      </c>
      <c r="AC21" s="475">
        <f t="shared" si="9"/>
        <v>0</v>
      </c>
    </row>
    <row r="22" spans="1:29" x14ac:dyDescent="0.25">
      <c r="A22" s="291" t="s">
        <v>673</v>
      </c>
      <c r="B22" s="502"/>
      <c r="C22" s="52"/>
      <c r="D22" s="720"/>
      <c r="E22" s="720"/>
      <c r="F22" s="720"/>
      <c r="G22" s="720"/>
      <c r="H22" s="720"/>
      <c r="I22" s="474">
        <f t="shared" si="1"/>
        <v>0</v>
      </c>
      <c r="J22" s="474">
        <f t="shared" si="2"/>
        <v>0</v>
      </c>
      <c r="K22" s="474">
        <f t="shared" si="5"/>
        <v>0</v>
      </c>
      <c r="L22" s="43">
        <f t="shared" si="6"/>
        <v>0</v>
      </c>
      <c r="M22" s="90"/>
      <c r="N22" s="673"/>
      <c r="O22" s="673"/>
      <c r="P22" s="673"/>
      <c r="Q22" s="673"/>
      <c r="R22" s="673"/>
      <c r="S22" s="673"/>
      <c r="T22" s="99"/>
      <c r="U22" s="673"/>
      <c r="V22" s="99"/>
      <c r="W22" s="99"/>
      <c r="X22" s="99"/>
      <c r="Y22" s="475">
        <f t="shared" si="3"/>
        <v>0</v>
      </c>
      <c r="Z22" s="475">
        <f t="shared" si="4"/>
        <v>0</v>
      </c>
      <c r="AA22" s="718">
        <f t="shared" si="10"/>
        <v>0</v>
      </c>
      <c r="AB22" s="718">
        <f t="shared" si="8"/>
        <v>0</v>
      </c>
      <c r="AC22" s="475">
        <f t="shared" si="9"/>
        <v>0</v>
      </c>
    </row>
    <row r="23" spans="1:29" x14ac:dyDescent="0.25">
      <c r="A23" s="291" t="s">
        <v>674</v>
      </c>
      <c r="B23" s="502"/>
      <c r="C23" s="78"/>
      <c r="D23" s="726"/>
      <c r="E23" s="726"/>
      <c r="F23" s="726"/>
      <c r="G23" s="726"/>
      <c r="H23" s="726"/>
      <c r="I23" s="474">
        <f t="shared" si="1"/>
        <v>0</v>
      </c>
      <c r="J23" s="474">
        <f t="shared" si="2"/>
        <v>0</v>
      </c>
      <c r="K23" s="474">
        <f t="shared" si="5"/>
        <v>0</v>
      </c>
      <c r="L23" s="43">
        <f t="shared" si="6"/>
        <v>0</v>
      </c>
      <c r="M23" s="90"/>
      <c r="N23" s="673"/>
      <c r="O23" s="673"/>
      <c r="P23" s="673"/>
      <c r="Q23" s="673"/>
      <c r="R23" s="673"/>
      <c r="S23" s="673"/>
      <c r="T23" s="99"/>
      <c r="U23" s="673"/>
      <c r="V23" s="99"/>
      <c r="W23" s="99"/>
      <c r="X23" s="99"/>
      <c r="Y23" s="475">
        <f t="shared" si="3"/>
        <v>0</v>
      </c>
      <c r="Z23" s="475">
        <f t="shared" si="4"/>
        <v>0</v>
      </c>
      <c r="AA23" s="718">
        <f t="shared" si="10"/>
        <v>0</v>
      </c>
      <c r="AB23" s="718">
        <f t="shared" si="8"/>
        <v>0</v>
      </c>
      <c r="AC23" s="475">
        <f t="shared" si="9"/>
        <v>0</v>
      </c>
    </row>
    <row r="24" spans="1:29" x14ac:dyDescent="0.25">
      <c r="A24" s="455" t="s">
        <v>370</v>
      </c>
      <c r="B24" s="502"/>
      <c r="C24" s="52"/>
      <c r="D24" s="720"/>
      <c r="E24" s="720"/>
      <c r="F24" s="720"/>
      <c r="G24" s="720"/>
      <c r="H24" s="720"/>
      <c r="I24" s="474">
        <f t="shared" si="1"/>
        <v>0</v>
      </c>
      <c r="J24" s="474">
        <f t="shared" si="2"/>
        <v>0</v>
      </c>
      <c r="K24" s="474">
        <f t="shared" si="5"/>
        <v>0</v>
      </c>
      <c r="L24" s="43">
        <f t="shared" si="6"/>
        <v>0</v>
      </c>
      <c r="M24" s="90"/>
      <c r="N24" s="673"/>
      <c r="O24" s="673"/>
      <c r="P24" s="673"/>
      <c r="Q24" s="673"/>
      <c r="R24" s="673"/>
      <c r="S24" s="673"/>
      <c r="T24" s="99"/>
      <c r="U24" s="673"/>
      <c r="V24" s="99"/>
      <c r="W24" s="99"/>
      <c r="X24" s="99"/>
      <c r="Y24" s="475">
        <f t="shared" si="3"/>
        <v>0</v>
      </c>
      <c r="Z24" s="475">
        <f t="shared" si="4"/>
        <v>0</v>
      </c>
      <c r="AA24" s="718">
        <f t="shared" si="10"/>
        <v>0</v>
      </c>
      <c r="AB24" s="718">
        <f t="shared" si="8"/>
        <v>0</v>
      </c>
      <c r="AC24" s="475">
        <f t="shared" si="9"/>
        <v>0</v>
      </c>
    </row>
    <row r="25" spans="1:29" x14ac:dyDescent="0.25">
      <c r="A25" s="200" t="s">
        <v>675</v>
      </c>
      <c r="B25" s="502" t="s">
        <v>29</v>
      </c>
      <c r="C25" s="52">
        <f>159557.04</f>
        <v>159557.04</v>
      </c>
      <c r="D25" s="720">
        <v>14783.4</v>
      </c>
      <c r="E25" s="720"/>
      <c r="F25" s="720"/>
      <c r="G25" s="720"/>
      <c r="H25" s="720"/>
      <c r="I25" s="474">
        <f t="shared" si="1"/>
        <v>174340.44</v>
      </c>
      <c r="J25" s="474">
        <f t="shared" si="2"/>
        <v>130755.33</v>
      </c>
      <c r="K25" s="474">
        <f t="shared" si="5"/>
        <v>14528.37</v>
      </c>
      <c r="L25" s="43">
        <f t="shared" si="6"/>
        <v>145283.70000000001</v>
      </c>
      <c r="M25" s="776">
        <v>12932.16</v>
      </c>
      <c r="N25" s="673">
        <v>12932.16</v>
      </c>
      <c r="O25" s="1081">
        <v>12932.16</v>
      </c>
      <c r="P25" s="673">
        <v>14367.84</v>
      </c>
      <c r="Q25" s="1157">
        <v>13291.08</v>
      </c>
      <c r="R25" s="1170">
        <v>13291.08</v>
      </c>
      <c r="S25" s="1170">
        <v>13302.48</v>
      </c>
      <c r="T25" s="1170">
        <v>13301.76</v>
      </c>
      <c r="U25" s="1257">
        <v>13301.76</v>
      </c>
      <c r="V25" s="1283">
        <v>13301.76</v>
      </c>
      <c r="W25" s="99"/>
      <c r="X25" s="99"/>
      <c r="Y25" s="475">
        <f t="shared" si="3"/>
        <v>119652.47999999998</v>
      </c>
      <c r="Z25" s="475">
        <f t="shared" si="4"/>
        <v>13301.76</v>
      </c>
      <c r="AA25" s="718">
        <f t="shared" si="10"/>
        <v>132954.23999999999</v>
      </c>
      <c r="AB25" s="718">
        <f t="shared" si="8"/>
        <v>12329.460000000021</v>
      </c>
      <c r="AC25" s="475">
        <f t="shared" si="9"/>
        <v>41386.200000000012</v>
      </c>
    </row>
    <row r="26" spans="1:29" x14ac:dyDescent="0.25">
      <c r="A26" s="200" t="s">
        <v>676</v>
      </c>
      <c r="B26" s="502" t="s">
        <v>31</v>
      </c>
      <c r="C26" s="52">
        <f>26592.84</f>
        <v>26592.84</v>
      </c>
      <c r="D26" s="720">
        <v>2463.9</v>
      </c>
      <c r="E26" s="720"/>
      <c r="F26" s="720"/>
      <c r="G26" s="720"/>
      <c r="H26" s="720"/>
      <c r="I26" s="474">
        <f t="shared" si="1"/>
        <v>29056.74</v>
      </c>
      <c r="J26" s="474">
        <f>I26/12*9</f>
        <v>21792.555</v>
      </c>
      <c r="K26" s="474">
        <f t="shared" si="5"/>
        <v>2421.395</v>
      </c>
      <c r="L26" s="43">
        <f t="shared" si="6"/>
        <v>24213.95</v>
      </c>
      <c r="M26" s="776">
        <v>2155.36</v>
      </c>
      <c r="N26" s="673">
        <v>2155.36</v>
      </c>
      <c r="O26" s="1081">
        <v>2155.36</v>
      </c>
      <c r="P26" s="673">
        <v>2394.64</v>
      </c>
      <c r="Q26" s="1157">
        <v>2215.1799999999998</v>
      </c>
      <c r="R26" s="1170">
        <v>2215.1799999999998</v>
      </c>
      <c r="S26" s="1170">
        <v>2216.9</v>
      </c>
      <c r="T26" s="1170">
        <v>2216.96</v>
      </c>
      <c r="U26" s="1257">
        <v>1487.56</v>
      </c>
      <c r="V26" s="1283">
        <v>2216.96</v>
      </c>
      <c r="W26" s="99"/>
      <c r="X26" s="99"/>
      <c r="Y26" s="475">
        <f t="shared" si="3"/>
        <v>19212.5</v>
      </c>
      <c r="Z26" s="475">
        <f t="shared" si="4"/>
        <v>2216.96</v>
      </c>
      <c r="AA26" s="718">
        <f t="shared" si="10"/>
        <v>21429.46</v>
      </c>
      <c r="AB26" s="718">
        <f t="shared" si="8"/>
        <v>2784.4900000000016</v>
      </c>
      <c r="AC26" s="475">
        <f t="shared" si="9"/>
        <v>7627.2800000000025</v>
      </c>
    </row>
    <row r="27" spans="1:29" x14ac:dyDescent="0.25">
      <c r="A27" s="200" t="s">
        <v>677</v>
      </c>
      <c r="B27" s="502" t="s">
        <v>33</v>
      </c>
      <c r="C27" s="52">
        <f>22916.36</f>
        <v>22916.36</v>
      </c>
      <c r="D27" s="720">
        <v>2155.91</v>
      </c>
      <c r="E27" s="720"/>
      <c r="F27" s="720"/>
      <c r="G27" s="720"/>
      <c r="H27" s="720"/>
      <c r="I27" s="474">
        <f t="shared" si="1"/>
        <v>25072.27</v>
      </c>
      <c r="J27" s="474">
        <f t="shared" si="2"/>
        <v>18804.202500000003</v>
      </c>
      <c r="K27" s="474">
        <f t="shared" si="5"/>
        <v>2089.3558333333335</v>
      </c>
      <c r="L27" s="43">
        <f t="shared" si="6"/>
        <v>20893.558333333338</v>
      </c>
      <c r="M27" s="776">
        <v>1462.04</v>
      </c>
      <c r="N27" s="673">
        <v>1462.04</v>
      </c>
      <c r="O27" s="1081">
        <v>1462.04</v>
      </c>
      <c r="P27" s="673">
        <v>1486.22</v>
      </c>
      <c r="Q27" s="1157">
        <v>1486.22</v>
      </c>
      <c r="R27" s="1170">
        <v>1486.22</v>
      </c>
      <c r="S27" s="1170">
        <v>1487.56</v>
      </c>
      <c r="T27" s="1170">
        <v>1487.56</v>
      </c>
      <c r="U27" s="1257">
        <v>2216.96</v>
      </c>
      <c r="V27" s="1283">
        <v>1487.56</v>
      </c>
      <c r="W27" s="99"/>
      <c r="X27" s="99"/>
      <c r="Y27" s="475">
        <f t="shared" si="3"/>
        <v>14036.86</v>
      </c>
      <c r="Z27" s="475">
        <f t="shared" si="4"/>
        <v>1487.56</v>
      </c>
      <c r="AA27" s="718">
        <f t="shared" si="10"/>
        <v>15524.42</v>
      </c>
      <c r="AB27" s="718">
        <f t="shared" si="8"/>
        <v>5369.1383333333379</v>
      </c>
      <c r="AC27" s="475">
        <f t="shared" si="9"/>
        <v>9547.85</v>
      </c>
    </row>
    <row r="28" spans="1:29" x14ac:dyDescent="0.25">
      <c r="A28" s="456" t="s">
        <v>678</v>
      </c>
      <c r="B28" s="502" t="s">
        <v>35</v>
      </c>
      <c r="C28" s="52">
        <v>4800</v>
      </c>
      <c r="D28" s="720">
        <v>500</v>
      </c>
      <c r="E28" s="720"/>
      <c r="F28" s="720"/>
      <c r="G28" s="720"/>
      <c r="H28" s="720"/>
      <c r="I28" s="474">
        <f t="shared" si="1"/>
        <v>5300</v>
      </c>
      <c r="J28" s="474">
        <f t="shared" si="2"/>
        <v>3975</v>
      </c>
      <c r="K28" s="474">
        <f t="shared" si="5"/>
        <v>441.66666666666669</v>
      </c>
      <c r="L28" s="43">
        <f t="shared" si="6"/>
        <v>4416.666666666667</v>
      </c>
      <c r="M28" s="776">
        <v>400</v>
      </c>
      <c r="N28" s="673">
        <v>400</v>
      </c>
      <c r="O28" s="1081">
        <v>400</v>
      </c>
      <c r="P28" s="673">
        <v>400</v>
      </c>
      <c r="Q28" s="1157">
        <v>400</v>
      </c>
      <c r="R28" s="1170">
        <v>400</v>
      </c>
      <c r="S28" s="1170">
        <v>400</v>
      </c>
      <c r="T28" s="1170">
        <v>400</v>
      </c>
      <c r="U28" s="1257">
        <v>400</v>
      </c>
      <c r="V28" s="1283">
        <v>400</v>
      </c>
      <c r="W28" s="99"/>
      <c r="X28" s="99"/>
      <c r="Y28" s="475">
        <f t="shared" si="3"/>
        <v>3600</v>
      </c>
      <c r="Z28" s="475">
        <f t="shared" si="4"/>
        <v>400</v>
      </c>
      <c r="AA28" s="718">
        <f t="shared" si="10"/>
        <v>4000</v>
      </c>
      <c r="AB28" s="718">
        <f t="shared" si="8"/>
        <v>416.66666666666697</v>
      </c>
      <c r="AC28" s="475">
        <f t="shared" si="9"/>
        <v>1300</v>
      </c>
    </row>
    <row r="29" spans="1:29" x14ac:dyDescent="0.25">
      <c r="A29" s="860"/>
      <c r="B29" s="168"/>
      <c r="C29" s="43"/>
      <c r="D29" s="718"/>
      <c r="E29" s="718"/>
      <c r="F29" s="718"/>
      <c r="G29" s="718"/>
      <c r="H29" s="718"/>
      <c r="I29" s="474">
        <f t="shared" si="1"/>
        <v>0</v>
      </c>
      <c r="J29" s="474">
        <f t="shared" si="2"/>
        <v>0</v>
      </c>
      <c r="K29" s="43"/>
      <c r="L29" s="43"/>
      <c r="M29" s="90"/>
      <c r="N29" s="673"/>
      <c r="O29" s="673"/>
      <c r="P29" s="673"/>
      <c r="Q29" s="673"/>
      <c r="R29" s="673"/>
      <c r="S29" s="673"/>
      <c r="T29" s="99"/>
      <c r="U29" s="673"/>
      <c r="V29" s="99"/>
      <c r="W29" s="99"/>
      <c r="X29" s="99"/>
      <c r="Y29" s="475">
        <f t="shared" si="3"/>
        <v>0</v>
      </c>
      <c r="Z29" s="475">
        <f t="shared" si="4"/>
        <v>0</v>
      </c>
      <c r="AA29" s="77">
        <f t="shared" si="10"/>
        <v>0</v>
      </c>
      <c r="AB29" s="718">
        <f t="shared" si="8"/>
        <v>0</v>
      </c>
      <c r="AC29" s="475">
        <f t="shared" si="9"/>
        <v>0</v>
      </c>
    </row>
    <row r="30" spans="1:29" x14ac:dyDescent="0.25">
      <c r="A30" s="472" t="s">
        <v>40</v>
      </c>
      <c r="B30" s="478"/>
      <c r="C30" s="479">
        <f>SUM(C8:C29)</f>
        <v>2069115.2400000002</v>
      </c>
      <c r="D30" s="479">
        <f>SUM(D8:D29)</f>
        <v>187737.21</v>
      </c>
      <c r="E30" s="479">
        <f>SUM(E8:E29)</f>
        <v>0</v>
      </c>
      <c r="F30" s="479">
        <f t="shared" ref="F30:G30" si="11">SUM(F8:F29)</f>
        <v>0</v>
      </c>
      <c r="G30" s="479">
        <f t="shared" si="11"/>
        <v>0</v>
      </c>
      <c r="H30" s="479">
        <f t="shared" ref="H30:AC30" si="12">SUM(H8:H29)</f>
        <v>0</v>
      </c>
      <c r="I30" s="479">
        <f t="shared" si="12"/>
        <v>2256852.4500000002</v>
      </c>
      <c r="J30" s="479">
        <f t="shared" si="12"/>
        <v>1696639.3374999999</v>
      </c>
      <c r="K30" s="479">
        <f t="shared" si="12"/>
        <v>188071.03749999998</v>
      </c>
      <c r="L30" s="479">
        <f t="shared" si="12"/>
        <v>1884710.3749999998</v>
      </c>
      <c r="M30" s="479">
        <f t="shared" si="12"/>
        <v>160717.56</v>
      </c>
      <c r="N30" s="479">
        <f t="shared" si="12"/>
        <v>144717.56</v>
      </c>
      <c r="O30" s="479">
        <f t="shared" si="12"/>
        <v>144717.56</v>
      </c>
      <c r="P30" s="479">
        <f t="shared" si="12"/>
        <v>158380.70000000001</v>
      </c>
      <c r="Q30" s="479">
        <f t="shared" si="12"/>
        <v>258910.47999999998</v>
      </c>
      <c r="R30" s="479">
        <f t="shared" si="12"/>
        <v>148151.47999999998</v>
      </c>
      <c r="S30" s="479">
        <f t="shared" si="12"/>
        <v>148251.94999999998</v>
      </c>
      <c r="T30" s="479">
        <f>SUM(T8:T29)</f>
        <v>148254.28</v>
      </c>
      <c r="U30" s="725">
        <f t="shared" si="12"/>
        <v>148254.28</v>
      </c>
      <c r="V30" s="479">
        <f t="shared" si="12"/>
        <v>151554.28</v>
      </c>
      <c r="W30" s="479">
        <f t="shared" si="12"/>
        <v>0</v>
      </c>
      <c r="X30" s="479">
        <f t="shared" si="12"/>
        <v>0</v>
      </c>
      <c r="Y30" s="479">
        <f t="shared" si="12"/>
        <v>1460355.85</v>
      </c>
      <c r="Z30" s="479">
        <f t="shared" si="12"/>
        <v>151554.28</v>
      </c>
      <c r="AA30" s="479">
        <f t="shared" si="12"/>
        <v>1611910.13</v>
      </c>
      <c r="AB30" s="479">
        <f t="shared" si="12"/>
        <v>272800.24500000011</v>
      </c>
      <c r="AC30" s="479">
        <f t="shared" si="12"/>
        <v>644942.31999999995</v>
      </c>
    </row>
    <row r="31" spans="1:29" x14ac:dyDescent="0.25">
      <c r="A31" s="472"/>
      <c r="B31" s="478"/>
      <c r="C31" s="479"/>
      <c r="D31" s="479"/>
      <c r="E31" s="479"/>
      <c r="F31" s="479"/>
      <c r="G31" s="479"/>
      <c r="H31" s="479"/>
      <c r="I31" s="479"/>
      <c r="J31" s="479"/>
      <c r="K31" s="479"/>
      <c r="L31" s="43"/>
      <c r="M31" s="90"/>
      <c r="N31" s="673"/>
      <c r="O31" s="673"/>
      <c r="P31" s="673"/>
      <c r="Q31" s="673"/>
      <c r="R31" s="673"/>
      <c r="S31" s="673"/>
      <c r="T31" s="99"/>
      <c r="U31" s="673"/>
      <c r="V31" s="99"/>
      <c r="W31" s="99"/>
      <c r="X31" s="99"/>
      <c r="Y31" s="99"/>
      <c r="Z31" s="99"/>
      <c r="AA31" s="99"/>
      <c r="AB31" s="43"/>
      <c r="AC31" s="99"/>
    </row>
    <row r="32" spans="1:29" x14ac:dyDescent="0.25">
      <c r="A32" s="53" t="s">
        <v>620</v>
      </c>
      <c r="B32" s="478"/>
      <c r="C32" s="474"/>
      <c r="D32" s="474"/>
      <c r="E32" s="474"/>
      <c r="F32" s="474"/>
      <c r="G32" s="474"/>
      <c r="H32" s="474"/>
      <c r="I32" s="474"/>
      <c r="J32" s="474"/>
      <c r="K32" s="474"/>
      <c r="L32" s="43"/>
      <c r="M32" s="90"/>
      <c r="N32" s="673"/>
      <c r="O32" s="673"/>
      <c r="P32" s="673"/>
      <c r="Q32" s="673"/>
      <c r="R32" s="673"/>
      <c r="S32" s="673"/>
      <c r="T32" s="99"/>
      <c r="U32" s="673"/>
      <c r="V32" s="99"/>
      <c r="W32" s="99"/>
      <c r="X32" s="99"/>
      <c r="Y32" s="475">
        <f t="shared" ref="Y32:Y50" si="13">M32+N32+O32+P32+Q32+R32+S32+T32+U32</f>
        <v>0</v>
      </c>
      <c r="Z32" s="475">
        <f t="shared" ref="Z32:Z50" si="14">V32</f>
        <v>0</v>
      </c>
      <c r="AA32" s="953"/>
      <c r="AB32" s="43"/>
      <c r="AC32" s="99"/>
    </row>
    <row r="33" spans="1:29" x14ac:dyDescent="0.25">
      <c r="A33" s="201" t="s">
        <v>139</v>
      </c>
      <c r="B33" s="502" t="s">
        <v>43</v>
      </c>
      <c r="C33" s="40">
        <v>45000</v>
      </c>
      <c r="D33" s="989"/>
      <c r="E33" s="989">
        <f>-5000</f>
        <v>-5000</v>
      </c>
      <c r="F33" s="989"/>
      <c r="G33" s="989"/>
      <c r="H33" s="989"/>
      <c r="I33" s="474">
        <f t="shared" ref="I33:I50" si="15">SUM(C33:H33)</f>
        <v>40000</v>
      </c>
      <c r="J33" s="474">
        <f t="shared" ref="J33:J50" si="16">I33/12*9</f>
        <v>30000</v>
      </c>
      <c r="K33" s="474">
        <f t="shared" ref="K33" si="17">I33/12</f>
        <v>3333.3333333333335</v>
      </c>
      <c r="L33" s="43">
        <f t="shared" ref="L33" si="18">J33+K33</f>
        <v>33333.333333333336</v>
      </c>
      <c r="M33" s="90"/>
      <c r="N33" s="673">
        <v>1620</v>
      </c>
      <c r="O33" s="673">
        <v>3720</v>
      </c>
      <c r="P33" s="673"/>
      <c r="Q33" s="673">
        <v>1240</v>
      </c>
      <c r="R33" s="673">
        <v>2480</v>
      </c>
      <c r="S33" s="673">
        <v>2480</v>
      </c>
      <c r="T33" s="673">
        <v>5890</v>
      </c>
      <c r="U33" s="673">
        <v>9058</v>
      </c>
      <c r="V33" s="99"/>
      <c r="W33" s="99"/>
      <c r="X33" s="99"/>
      <c r="Y33" s="475">
        <f t="shared" si="13"/>
        <v>26488</v>
      </c>
      <c r="Z33" s="475">
        <f t="shared" si="14"/>
        <v>0</v>
      </c>
      <c r="AA33" s="718">
        <f t="shared" ref="AA33" si="19">Y33+Z33</f>
        <v>26488</v>
      </c>
      <c r="AB33" s="718">
        <f t="shared" ref="AB33:AB50" si="20">L33-AA33</f>
        <v>6845.3333333333358</v>
      </c>
      <c r="AC33" s="475">
        <f t="shared" ref="AC33:AC50" si="21">I33-AA33</f>
        <v>13512</v>
      </c>
    </row>
    <row r="34" spans="1:29" x14ac:dyDescent="0.25">
      <c r="A34" s="201" t="s">
        <v>44</v>
      </c>
      <c r="B34" s="503" t="s">
        <v>140</v>
      </c>
      <c r="C34" s="40">
        <f>65000-25400</f>
        <v>39600</v>
      </c>
      <c r="D34" s="989"/>
      <c r="E34" s="989">
        <f>-10000</f>
        <v>-10000</v>
      </c>
      <c r="F34" s="989"/>
      <c r="G34" s="989">
        <v>5060</v>
      </c>
      <c r="H34" s="989"/>
      <c r="I34" s="474">
        <f t="shared" si="15"/>
        <v>34660</v>
      </c>
      <c r="J34" s="474">
        <f t="shared" si="16"/>
        <v>25995</v>
      </c>
      <c r="K34" s="474">
        <f t="shared" ref="K34:K49" si="22">I34/12</f>
        <v>2888.3333333333335</v>
      </c>
      <c r="L34" s="43">
        <f t="shared" ref="L34:L49" si="23">J34+K34</f>
        <v>28883.333333333332</v>
      </c>
      <c r="M34" s="90"/>
      <c r="N34" s="673"/>
      <c r="O34" s="673"/>
      <c r="P34" s="673"/>
      <c r="Q34" s="673"/>
      <c r="R34" s="673"/>
      <c r="S34" s="673"/>
      <c r="T34" s="673">
        <v>7360</v>
      </c>
      <c r="U34" s="673">
        <v>8694.5</v>
      </c>
      <c r="V34" s="1281">
        <v>500</v>
      </c>
      <c r="W34" s="99"/>
      <c r="X34" s="99"/>
      <c r="Y34" s="475">
        <f t="shared" si="13"/>
        <v>16054.5</v>
      </c>
      <c r="Z34" s="475">
        <f t="shared" si="14"/>
        <v>500</v>
      </c>
      <c r="AA34" s="718">
        <f t="shared" ref="AA34:AA49" si="24">Y34+Z34</f>
        <v>16554.5</v>
      </c>
      <c r="AB34" s="718">
        <f t="shared" si="20"/>
        <v>12328.833333333332</v>
      </c>
      <c r="AC34" s="475">
        <f t="shared" si="21"/>
        <v>18105.5</v>
      </c>
    </row>
    <row r="35" spans="1:29" x14ac:dyDescent="0.25">
      <c r="A35" s="201" t="s">
        <v>50</v>
      </c>
      <c r="B35" s="502" t="s">
        <v>51</v>
      </c>
      <c r="C35" s="40"/>
      <c r="D35" s="989"/>
      <c r="E35" s="989"/>
      <c r="F35" s="989"/>
      <c r="G35" s="989"/>
      <c r="H35" s="989"/>
      <c r="I35" s="474">
        <f t="shared" si="15"/>
        <v>0</v>
      </c>
      <c r="J35" s="474">
        <f t="shared" si="16"/>
        <v>0</v>
      </c>
      <c r="K35" s="474">
        <f t="shared" si="22"/>
        <v>0</v>
      </c>
      <c r="L35" s="43">
        <f t="shared" si="23"/>
        <v>0</v>
      </c>
      <c r="M35" s="90"/>
      <c r="N35" s="673"/>
      <c r="O35" s="673"/>
      <c r="P35" s="673"/>
      <c r="Q35" s="673"/>
      <c r="R35" s="673"/>
      <c r="S35" s="673"/>
      <c r="T35" s="673"/>
      <c r="U35" s="673"/>
      <c r="V35" s="99"/>
      <c r="W35" s="99"/>
      <c r="X35" s="99"/>
      <c r="Y35" s="475">
        <f t="shared" si="13"/>
        <v>0</v>
      </c>
      <c r="Z35" s="475">
        <f t="shared" si="14"/>
        <v>0</v>
      </c>
      <c r="AA35" s="718">
        <f t="shared" si="24"/>
        <v>0</v>
      </c>
      <c r="AB35" s="718">
        <f t="shared" si="20"/>
        <v>0</v>
      </c>
      <c r="AC35" s="475">
        <f t="shared" si="21"/>
        <v>0</v>
      </c>
    </row>
    <row r="36" spans="1:29" x14ac:dyDescent="0.25">
      <c r="A36" s="235" t="s">
        <v>371</v>
      </c>
      <c r="B36" s="502"/>
      <c r="C36" s="40">
        <v>58000</v>
      </c>
      <c r="D36" s="989"/>
      <c r="E36" s="989"/>
      <c r="F36" s="989">
        <v>10000</v>
      </c>
      <c r="G36" s="989"/>
      <c r="H36" s="989"/>
      <c r="I36" s="474">
        <f t="shared" si="15"/>
        <v>68000</v>
      </c>
      <c r="J36" s="474">
        <f t="shared" si="16"/>
        <v>51000</v>
      </c>
      <c r="K36" s="474">
        <f t="shared" si="22"/>
        <v>5666.666666666667</v>
      </c>
      <c r="L36" s="43">
        <f t="shared" si="23"/>
        <v>56666.666666666664</v>
      </c>
      <c r="M36" s="90"/>
      <c r="N36" s="673">
        <v>600</v>
      </c>
      <c r="O36" s="673">
        <v>13771</v>
      </c>
      <c r="P36" s="673"/>
      <c r="Q36" s="673"/>
      <c r="R36" s="673">
        <f>2851+3470+4260+710</f>
        <v>11291</v>
      </c>
      <c r="S36" s="673">
        <v>2500</v>
      </c>
      <c r="T36" s="673">
        <v>8201</v>
      </c>
      <c r="U36" s="673">
        <f>4355+470</f>
        <v>4825</v>
      </c>
      <c r="V36" s="99"/>
      <c r="W36" s="99"/>
      <c r="X36" s="99"/>
      <c r="Y36" s="475">
        <f t="shared" si="13"/>
        <v>41188</v>
      </c>
      <c r="Z36" s="475">
        <f t="shared" si="14"/>
        <v>0</v>
      </c>
      <c r="AA36" s="718">
        <f t="shared" si="24"/>
        <v>41188</v>
      </c>
      <c r="AB36" s="718">
        <f t="shared" si="20"/>
        <v>15478.666666666664</v>
      </c>
      <c r="AC36" s="475">
        <f t="shared" si="21"/>
        <v>26812</v>
      </c>
    </row>
    <row r="37" spans="1:29" ht="26.25" x14ac:dyDescent="0.25">
      <c r="A37" s="499" t="s">
        <v>703</v>
      </c>
      <c r="B37" s="410"/>
      <c r="C37" s="40"/>
      <c r="D37" s="989"/>
      <c r="E37" s="989"/>
      <c r="F37" s="989"/>
      <c r="G37" s="989"/>
      <c r="H37" s="989"/>
      <c r="I37" s="474">
        <f t="shared" si="15"/>
        <v>0</v>
      </c>
      <c r="J37" s="474">
        <f t="shared" si="16"/>
        <v>0</v>
      </c>
      <c r="K37" s="474">
        <f t="shared" si="22"/>
        <v>0</v>
      </c>
      <c r="L37" s="43">
        <f t="shared" si="23"/>
        <v>0</v>
      </c>
      <c r="M37" s="58"/>
      <c r="N37" s="373"/>
      <c r="O37" s="373"/>
      <c r="P37" s="373"/>
      <c r="Q37" s="373"/>
      <c r="R37" s="373"/>
      <c r="S37" s="373"/>
      <c r="T37" s="373"/>
      <c r="U37" s="373"/>
      <c r="V37" s="482"/>
      <c r="W37" s="482"/>
      <c r="X37" s="482"/>
      <c r="Y37" s="475">
        <f t="shared" si="13"/>
        <v>0</v>
      </c>
      <c r="Z37" s="475">
        <f t="shared" si="14"/>
        <v>0</v>
      </c>
      <c r="AA37" s="718">
        <f t="shared" si="24"/>
        <v>0</v>
      </c>
      <c r="AB37" s="718">
        <f t="shared" si="20"/>
        <v>0</v>
      </c>
      <c r="AC37" s="475">
        <f t="shared" si="21"/>
        <v>0</v>
      </c>
    </row>
    <row r="38" spans="1:29" x14ac:dyDescent="0.25">
      <c r="A38" s="201" t="s">
        <v>236</v>
      </c>
      <c r="B38" s="502" t="s">
        <v>245</v>
      </c>
      <c r="C38" s="40">
        <f>5000+5000</f>
        <v>10000</v>
      </c>
      <c r="D38" s="989"/>
      <c r="E38" s="989"/>
      <c r="F38" s="989"/>
      <c r="G38" s="989"/>
      <c r="H38" s="989"/>
      <c r="I38" s="474">
        <f t="shared" si="15"/>
        <v>10000</v>
      </c>
      <c r="J38" s="474">
        <f t="shared" si="16"/>
        <v>7500</v>
      </c>
      <c r="K38" s="474">
        <f t="shared" si="22"/>
        <v>833.33333333333337</v>
      </c>
      <c r="L38" s="43">
        <f t="shared" si="23"/>
        <v>8333.3333333333339</v>
      </c>
      <c r="M38" s="90"/>
      <c r="N38" s="673"/>
      <c r="O38" s="673"/>
      <c r="P38" s="673"/>
      <c r="Q38" s="673"/>
      <c r="R38" s="673"/>
      <c r="S38" s="673"/>
      <c r="T38" s="673">
        <v>2870</v>
      </c>
      <c r="U38" s="673"/>
      <c r="V38" s="99"/>
      <c r="W38" s="99"/>
      <c r="X38" s="99"/>
      <c r="Y38" s="475">
        <f t="shared" si="13"/>
        <v>2870</v>
      </c>
      <c r="Z38" s="475">
        <f t="shared" si="14"/>
        <v>0</v>
      </c>
      <c r="AA38" s="718">
        <f t="shared" si="24"/>
        <v>2870</v>
      </c>
      <c r="AB38" s="718">
        <f t="shared" si="20"/>
        <v>5463.3333333333339</v>
      </c>
      <c r="AC38" s="475">
        <f t="shared" si="21"/>
        <v>7130</v>
      </c>
    </row>
    <row r="39" spans="1:29" x14ac:dyDescent="0.25">
      <c r="A39" s="201" t="s">
        <v>481</v>
      </c>
      <c r="B39" s="502" t="s">
        <v>60</v>
      </c>
      <c r="C39" s="40">
        <v>60000</v>
      </c>
      <c r="D39" s="989"/>
      <c r="E39" s="989"/>
      <c r="F39" s="989"/>
      <c r="G39" s="989"/>
      <c r="H39" s="989"/>
      <c r="I39" s="474">
        <f t="shared" si="15"/>
        <v>60000</v>
      </c>
      <c r="J39" s="474">
        <f t="shared" si="16"/>
        <v>45000</v>
      </c>
      <c r="K39" s="474">
        <f t="shared" si="22"/>
        <v>5000</v>
      </c>
      <c r="L39" s="43">
        <f t="shared" si="23"/>
        <v>50000</v>
      </c>
      <c r="M39" s="90">
        <v>4999</v>
      </c>
      <c r="N39" s="673">
        <v>4999</v>
      </c>
      <c r="O39" s="673">
        <v>1990</v>
      </c>
      <c r="P39" s="673">
        <v>7999</v>
      </c>
      <c r="Q39" s="673">
        <v>4999</v>
      </c>
      <c r="R39" s="673">
        <v>4972</v>
      </c>
      <c r="S39" s="673">
        <v>5000</v>
      </c>
      <c r="T39" s="673">
        <v>3999</v>
      </c>
      <c r="U39" s="673">
        <v>3999</v>
      </c>
      <c r="V39" s="99">
        <v>999</v>
      </c>
      <c r="W39" s="99"/>
      <c r="X39" s="99"/>
      <c r="Y39" s="475">
        <f t="shared" si="13"/>
        <v>42956</v>
      </c>
      <c r="Z39" s="475">
        <f t="shared" si="14"/>
        <v>999</v>
      </c>
      <c r="AA39" s="718">
        <f t="shared" si="24"/>
        <v>43955</v>
      </c>
      <c r="AB39" s="718">
        <f t="shared" si="20"/>
        <v>6045</v>
      </c>
      <c r="AC39" s="475">
        <f t="shared" si="21"/>
        <v>16045</v>
      </c>
    </row>
    <row r="40" spans="1:29" x14ac:dyDescent="0.25">
      <c r="A40" s="201" t="s">
        <v>61</v>
      </c>
      <c r="B40" s="502" t="s">
        <v>62</v>
      </c>
      <c r="C40" s="40">
        <f>24000+3600</f>
        <v>27600</v>
      </c>
      <c r="D40" s="989"/>
      <c r="E40" s="989"/>
      <c r="F40" s="989">
        <v>5000</v>
      </c>
      <c r="G40" s="989"/>
      <c r="H40" s="989"/>
      <c r="I40" s="474">
        <f t="shared" si="15"/>
        <v>32600</v>
      </c>
      <c r="J40" s="474">
        <f t="shared" si="16"/>
        <v>24450</v>
      </c>
      <c r="K40" s="474">
        <f t="shared" si="22"/>
        <v>2716.6666666666665</v>
      </c>
      <c r="L40" s="43">
        <f t="shared" si="23"/>
        <v>27166.666666666668</v>
      </c>
      <c r="M40" s="90"/>
      <c r="N40" s="673">
        <v>1000</v>
      </c>
      <c r="O40" s="673">
        <v>1000</v>
      </c>
      <c r="P40" s="673">
        <v>1000</v>
      </c>
      <c r="Q40" s="673"/>
      <c r="R40" s="673">
        <v>11651.04</v>
      </c>
      <c r="S40" s="673">
        <v>1000</v>
      </c>
      <c r="T40" s="673">
        <v>2716</v>
      </c>
      <c r="U40" s="673">
        <v>2799</v>
      </c>
      <c r="V40" s="99">
        <v>2799</v>
      </c>
      <c r="W40" s="99"/>
      <c r="X40" s="99"/>
      <c r="Y40" s="475">
        <f t="shared" si="13"/>
        <v>21166.04</v>
      </c>
      <c r="Z40" s="475">
        <f t="shared" si="14"/>
        <v>2799</v>
      </c>
      <c r="AA40" s="718">
        <f t="shared" si="24"/>
        <v>23965.040000000001</v>
      </c>
      <c r="AB40" s="718">
        <f t="shared" si="20"/>
        <v>3201.626666666667</v>
      </c>
      <c r="AC40" s="475">
        <f t="shared" si="21"/>
        <v>8634.9599999999991</v>
      </c>
    </row>
    <row r="41" spans="1:29" x14ac:dyDescent="0.25">
      <c r="A41" s="201" t="s">
        <v>69</v>
      </c>
      <c r="B41" s="502" t="s">
        <v>70</v>
      </c>
      <c r="C41" s="40">
        <f>184800+16800</f>
        <v>201600</v>
      </c>
      <c r="D41" s="989"/>
      <c r="E41" s="989"/>
      <c r="F41" s="989"/>
      <c r="G41" s="989"/>
      <c r="H41" s="989"/>
      <c r="I41" s="474">
        <f t="shared" si="15"/>
        <v>201600</v>
      </c>
      <c r="J41" s="474">
        <f t="shared" si="16"/>
        <v>151200</v>
      </c>
      <c r="K41" s="474">
        <f t="shared" si="22"/>
        <v>16800</v>
      </c>
      <c r="L41" s="43">
        <f t="shared" si="23"/>
        <v>168000</v>
      </c>
      <c r="M41" s="90">
        <v>10353.49</v>
      </c>
      <c r="N41" s="673">
        <v>16292.5</v>
      </c>
      <c r="O41" s="673">
        <v>15492.9</v>
      </c>
      <c r="P41" s="673">
        <v>16279.17</v>
      </c>
      <c r="Q41" s="673">
        <v>16300</v>
      </c>
      <c r="R41" s="673">
        <v>18520</v>
      </c>
      <c r="S41" s="673">
        <v>11837.9</v>
      </c>
      <c r="T41" s="673">
        <v>16300</v>
      </c>
      <c r="U41" s="673">
        <v>16300</v>
      </c>
      <c r="V41" s="99">
        <v>16300</v>
      </c>
      <c r="W41" s="99"/>
      <c r="X41" s="99"/>
      <c r="Y41" s="475">
        <f t="shared" si="13"/>
        <v>137675.96</v>
      </c>
      <c r="Z41" s="475">
        <f t="shared" si="14"/>
        <v>16300</v>
      </c>
      <c r="AA41" s="718">
        <f t="shared" si="24"/>
        <v>153975.96</v>
      </c>
      <c r="AB41" s="718">
        <f t="shared" si="20"/>
        <v>14024.040000000008</v>
      </c>
      <c r="AC41" s="475">
        <f t="shared" si="21"/>
        <v>47624.040000000008</v>
      </c>
    </row>
    <row r="42" spans="1:29" x14ac:dyDescent="0.25">
      <c r="A42" s="201" t="s">
        <v>237</v>
      </c>
      <c r="B42" s="502" t="s">
        <v>76</v>
      </c>
      <c r="C42" s="40"/>
      <c r="D42" s="989"/>
      <c r="E42" s="989"/>
      <c r="F42" s="989"/>
      <c r="G42" s="989"/>
      <c r="H42" s="989"/>
      <c r="I42" s="474">
        <f t="shared" si="15"/>
        <v>0</v>
      </c>
      <c r="J42" s="474">
        <f t="shared" si="16"/>
        <v>0</v>
      </c>
      <c r="K42" s="474">
        <f t="shared" si="22"/>
        <v>0</v>
      </c>
      <c r="L42" s="43">
        <f t="shared" si="23"/>
        <v>0</v>
      </c>
      <c r="M42" s="90"/>
      <c r="N42" s="673"/>
      <c r="O42" s="673"/>
      <c r="P42" s="673"/>
      <c r="Q42" s="673"/>
      <c r="R42" s="673"/>
      <c r="S42" s="673"/>
      <c r="T42" s="673"/>
      <c r="U42" s="673"/>
      <c r="V42" s="99"/>
      <c r="W42" s="99"/>
      <c r="X42" s="99"/>
      <c r="Y42" s="475">
        <f t="shared" si="13"/>
        <v>0</v>
      </c>
      <c r="Z42" s="475">
        <f t="shared" si="14"/>
        <v>0</v>
      </c>
      <c r="AA42" s="718">
        <f t="shared" si="24"/>
        <v>0</v>
      </c>
      <c r="AB42" s="718">
        <f t="shared" si="20"/>
        <v>0</v>
      </c>
      <c r="AC42" s="475">
        <f t="shared" si="21"/>
        <v>0</v>
      </c>
    </row>
    <row r="43" spans="1:29" x14ac:dyDescent="0.25">
      <c r="A43" s="383" t="s">
        <v>110</v>
      </c>
      <c r="B43" s="502"/>
      <c r="C43" s="40">
        <f>5000-2.5</f>
        <v>4997.5</v>
      </c>
      <c r="D43" s="989"/>
      <c r="E43" s="989"/>
      <c r="F43" s="989"/>
      <c r="G43" s="989"/>
      <c r="H43" s="989"/>
      <c r="I43" s="474">
        <f t="shared" si="15"/>
        <v>4997.5</v>
      </c>
      <c r="J43" s="474">
        <f t="shared" si="16"/>
        <v>3748.125</v>
      </c>
      <c r="K43" s="474">
        <f t="shared" si="22"/>
        <v>416.45833333333331</v>
      </c>
      <c r="L43" s="43">
        <f t="shared" si="23"/>
        <v>4164.583333333333</v>
      </c>
      <c r="M43" s="90"/>
      <c r="N43" s="673"/>
      <c r="O43" s="673"/>
      <c r="P43" s="673"/>
      <c r="Q43" s="673"/>
      <c r="R43" s="673"/>
      <c r="S43" s="673"/>
      <c r="T43" s="673"/>
      <c r="U43" s="673"/>
      <c r="V43" s="99"/>
      <c r="W43" s="99"/>
      <c r="X43" s="99"/>
      <c r="Y43" s="475">
        <f t="shared" si="13"/>
        <v>0</v>
      </c>
      <c r="Z43" s="475">
        <f t="shared" si="14"/>
        <v>0</v>
      </c>
      <c r="AA43" s="718">
        <f t="shared" si="24"/>
        <v>0</v>
      </c>
      <c r="AB43" s="718">
        <f t="shared" si="20"/>
        <v>4164.583333333333</v>
      </c>
      <c r="AC43" s="475">
        <f t="shared" si="21"/>
        <v>4997.5</v>
      </c>
    </row>
    <row r="44" spans="1:29" x14ac:dyDescent="0.25">
      <c r="A44" s="383" t="s">
        <v>390</v>
      </c>
      <c r="B44" s="502"/>
      <c r="C44" s="40">
        <v>5000</v>
      </c>
      <c r="D44" s="989"/>
      <c r="E44" s="989">
        <f>15000</f>
        <v>15000</v>
      </c>
      <c r="F44" s="989"/>
      <c r="G44" s="989"/>
      <c r="H44" s="989"/>
      <c r="I44" s="474">
        <f t="shared" si="15"/>
        <v>20000</v>
      </c>
      <c r="J44" s="474">
        <f t="shared" si="16"/>
        <v>15000</v>
      </c>
      <c r="K44" s="474">
        <f t="shared" si="22"/>
        <v>1666.6666666666667</v>
      </c>
      <c r="L44" s="43">
        <f t="shared" si="23"/>
        <v>16666.666666666668</v>
      </c>
      <c r="M44" s="90"/>
      <c r="N44" s="673">
        <v>400</v>
      </c>
      <c r="O44" s="673"/>
      <c r="P44" s="673"/>
      <c r="Q44" s="673"/>
      <c r="R44" s="673"/>
      <c r="S44" s="673">
        <v>500</v>
      </c>
      <c r="T44" s="673"/>
      <c r="U44" s="673"/>
      <c r="V44" s="99"/>
      <c r="W44" s="99"/>
      <c r="X44" s="99"/>
      <c r="Y44" s="475">
        <f t="shared" si="13"/>
        <v>900</v>
      </c>
      <c r="Z44" s="475">
        <f t="shared" si="14"/>
        <v>0</v>
      </c>
      <c r="AA44" s="718">
        <f t="shared" si="24"/>
        <v>900</v>
      </c>
      <c r="AB44" s="718">
        <f t="shared" si="20"/>
        <v>15766.666666666668</v>
      </c>
      <c r="AC44" s="475">
        <f t="shared" si="21"/>
        <v>19100</v>
      </c>
    </row>
    <row r="45" spans="1:29" x14ac:dyDescent="0.25">
      <c r="A45" s="273" t="s">
        <v>253</v>
      </c>
      <c r="B45" s="502" t="s">
        <v>93</v>
      </c>
      <c r="C45" s="40"/>
      <c r="D45" s="989"/>
      <c r="E45" s="989"/>
      <c r="F45" s="989"/>
      <c r="G45" s="989"/>
      <c r="H45" s="989"/>
      <c r="I45" s="474">
        <f t="shared" si="15"/>
        <v>0</v>
      </c>
      <c r="J45" s="474">
        <f t="shared" si="16"/>
        <v>0</v>
      </c>
      <c r="K45" s="474">
        <f t="shared" si="22"/>
        <v>0</v>
      </c>
      <c r="L45" s="43">
        <f t="shared" si="23"/>
        <v>0</v>
      </c>
      <c r="M45" s="373"/>
      <c r="N45" s="373"/>
      <c r="O45" s="373"/>
      <c r="P45" s="373"/>
      <c r="Q45" s="373"/>
      <c r="R45" s="373"/>
      <c r="S45" s="373"/>
      <c r="T45" s="373"/>
      <c r="U45" s="373"/>
      <c r="V45" s="211"/>
      <c r="W45" s="211"/>
      <c r="X45" s="211"/>
      <c r="Y45" s="475">
        <f t="shared" si="13"/>
        <v>0</v>
      </c>
      <c r="Z45" s="475">
        <f t="shared" si="14"/>
        <v>0</v>
      </c>
      <c r="AA45" s="725">
        <f t="shared" si="24"/>
        <v>0</v>
      </c>
      <c r="AB45" s="718">
        <f t="shared" si="20"/>
        <v>0</v>
      </c>
      <c r="AC45" s="475">
        <f t="shared" si="21"/>
        <v>0</v>
      </c>
    </row>
    <row r="46" spans="1:29" x14ac:dyDescent="0.25">
      <c r="A46" s="500" t="s">
        <v>704</v>
      </c>
      <c r="B46" s="476"/>
      <c r="C46" s="40"/>
      <c r="D46" s="989"/>
      <c r="E46" s="989"/>
      <c r="F46" s="989"/>
      <c r="G46" s="989"/>
      <c r="H46" s="989"/>
      <c r="I46" s="474">
        <f t="shared" si="15"/>
        <v>0</v>
      </c>
      <c r="J46" s="474">
        <f t="shared" si="16"/>
        <v>0</v>
      </c>
      <c r="K46" s="474">
        <f t="shared" si="22"/>
        <v>0</v>
      </c>
      <c r="L46" s="43">
        <f t="shared" si="23"/>
        <v>0</v>
      </c>
      <c r="M46" s="58"/>
      <c r="N46" s="373"/>
      <c r="O46" s="373"/>
      <c r="P46" s="373"/>
      <c r="Q46" s="373"/>
      <c r="R46" s="373"/>
      <c r="S46" s="373"/>
      <c r="T46" s="482"/>
      <c r="U46" s="373"/>
      <c r="V46" s="482"/>
      <c r="W46" s="482"/>
      <c r="X46" s="482"/>
      <c r="Y46" s="475">
        <f t="shared" si="13"/>
        <v>0</v>
      </c>
      <c r="Z46" s="475">
        <f t="shared" si="14"/>
        <v>0</v>
      </c>
      <c r="AA46" s="725">
        <f t="shared" si="24"/>
        <v>0</v>
      </c>
      <c r="AB46" s="718">
        <f t="shared" si="20"/>
        <v>0</v>
      </c>
      <c r="AC46" s="475">
        <f t="shared" si="21"/>
        <v>0</v>
      </c>
    </row>
    <row r="47" spans="1:29" x14ac:dyDescent="0.25">
      <c r="A47" s="235" t="s">
        <v>705</v>
      </c>
      <c r="B47" s="476"/>
      <c r="C47" s="40">
        <v>3000</v>
      </c>
      <c r="D47" s="989"/>
      <c r="E47" s="989"/>
      <c r="F47" s="989"/>
      <c r="G47" s="989"/>
      <c r="H47" s="989"/>
      <c r="I47" s="474">
        <f t="shared" si="15"/>
        <v>3000</v>
      </c>
      <c r="J47" s="474">
        <f t="shared" si="16"/>
        <v>2250</v>
      </c>
      <c r="K47" s="474">
        <f t="shared" si="22"/>
        <v>250</v>
      </c>
      <c r="L47" s="43">
        <f t="shared" si="23"/>
        <v>2500</v>
      </c>
      <c r="M47" s="90"/>
      <c r="N47" s="673"/>
      <c r="O47" s="673"/>
      <c r="P47" s="673"/>
      <c r="Q47" s="673"/>
      <c r="R47" s="673"/>
      <c r="S47" s="673"/>
      <c r="T47" s="99"/>
      <c r="U47" s="673"/>
      <c r="V47" s="99"/>
      <c r="W47" s="99"/>
      <c r="X47" s="99"/>
      <c r="Y47" s="475">
        <f t="shared" si="13"/>
        <v>0</v>
      </c>
      <c r="Z47" s="475">
        <f t="shared" si="14"/>
        <v>0</v>
      </c>
      <c r="AA47" s="725">
        <f t="shared" si="24"/>
        <v>0</v>
      </c>
      <c r="AB47" s="718">
        <f t="shared" si="20"/>
        <v>2500</v>
      </c>
      <c r="AC47" s="475">
        <f t="shared" si="21"/>
        <v>3000</v>
      </c>
    </row>
    <row r="48" spans="1:29" x14ac:dyDescent="0.25">
      <c r="A48" s="235" t="s">
        <v>706</v>
      </c>
      <c r="B48" s="476"/>
      <c r="C48" s="40"/>
      <c r="D48" s="989"/>
      <c r="E48" s="989"/>
      <c r="F48" s="989"/>
      <c r="G48" s="989"/>
      <c r="H48" s="989"/>
      <c r="I48" s="474">
        <f t="shared" si="15"/>
        <v>0</v>
      </c>
      <c r="J48" s="474">
        <f t="shared" si="16"/>
        <v>0</v>
      </c>
      <c r="K48" s="474">
        <f t="shared" si="22"/>
        <v>0</v>
      </c>
      <c r="L48" s="43">
        <f t="shared" si="23"/>
        <v>0</v>
      </c>
      <c r="M48" s="90"/>
      <c r="N48" s="673"/>
      <c r="O48" s="673"/>
      <c r="P48" s="673"/>
      <c r="Q48" s="673"/>
      <c r="R48" s="673"/>
      <c r="S48" s="673"/>
      <c r="T48" s="99"/>
      <c r="U48" s="673"/>
      <c r="V48" s="99"/>
      <c r="W48" s="99"/>
      <c r="X48" s="99"/>
      <c r="Y48" s="475">
        <f t="shared" si="13"/>
        <v>0</v>
      </c>
      <c r="Z48" s="475">
        <f t="shared" si="14"/>
        <v>0</v>
      </c>
      <c r="AA48" s="725">
        <f t="shared" si="24"/>
        <v>0</v>
      </c>
      <c r="AB48" s="718">
        <f t="shared" si="20"/>
        <v>0</v>
      </c>
      <c r="AC48" s="475">
        <f t="shared" si="21"/>
        <v>0</v>
      </c>
    </row>
    <row r="49" spans="1:30" ht="26.25" x14ac:dyDescent="0.25">
      <c r="A49" s="499" t="s">
        <v>703</v>
      </c>
      <c r="B49" s="476"/>
      <c r="C49" s="501">
        <v>15000</v>
      </c>
      <c r="D49" s="501"/>
      <c r="E49" s="501"/>
      <c r="F49" s="501">
        <f>-15000</f>
        <v>-15000</v>
      </c>
      <c r="G49" s="501"/>
      <c r="H49" s="501"/>
      <c r="I49" s="474">
        <f t="shared" si="15"/>
        <v>0</v>
      </c>
      <c r="J49" s="474">
        <f t="shared" si="16"/>
        <v>0</v>
      </c>
      <c r="K49" s="474">
        <f t="shared" si="22"/>
        <v>0</v>
      </c>
      <c r="L49" s="43">
        <f t="shared" si="23"/>
        <v>0</v>
      </c>
      <c r="M49" s="90"/>
      <c r="N49" s="673"/>
      <c r="O49" s="673"/>
      <c r="P49" s="673"/>
      <c r="Q49" s="673"/>
      <c r="R49" s="673"/>
      <c r="S49" s="673"/>
      <c r="T49" s="99"/>
      <c r="U49" s="673"/>
      <c r="V49" s="99"/>
      <c r="W49" s="99"/>
      <c r="X49" s="99"/>
      <c r="Y49" s="475">
        <f t="shared" si="13"/>
        <v>0</v>
      </c>
      <c r="Z49" s="475">
        <f t="shared" si="14"/>
        <v>0</v>
      </c>
      <c r="AA49" s="725">
        <f t="shared" si="24"/>
        <v>0</v>
      </c>
      <c r="AB49" s="718">
        <f t="shared" si="20"/>
        <v>0</v>
      </c>
      <c r="AC49" s="475">
        <f t="shared" si="21"/>
        <v>0</v>
      </c>
    </row>
    <row r="50" spans="1:30" x14ac:dyDescent="0.25">
      <c r="A50" s="481"/>
      <c r="B50" s="476"/>
      <c r="C50" s="474"/>
      <c r="D50" s="474"/>
      <c r="E50" s="474"/>
      <c r="F50" s="474"/>
      <c r="G50" s="474"/>
      <c r="H50" s="474"/>
      <c r="I50" s="474">
        <f t="shared" si="15"/>
        <v>0</v>
      </c>
      <c r="J50" s="474">
        <f t="shared" si="16"/>
        <v>0</v>
      </c>
      <c r="K50" s="474"/>
      <c r="L50" s="43"/>
      <c r="M50" s="90"/>
      <c r="N50" s="673"/>
      <c r="O50" s="673"/>
      <c r="P50" s="673"/>
      <c r="Q50" s="673"/>
      <c r="R50" s="673"/>
      <c r="S50" s="673"/>
      <c r="T50" s="99"/>
      <c r="U50" s="673"/>
      <c r="V50" s="99"/>
      <c r="W50" s="99"/>
      <c r="X50" s="99"/>
      <c r="Y50" s="475">
        <f t="shared" si="13"/>
        <v>0</v>
      </c>
      <c r="Z50" s="475">
        <f t="shared" si="14"/>
        <v>0</v>
      </c>
      <c r="AA50" s="77"/>
      <c r="AB50" s="718">
        <f t="shared" si="20"/>
        <v>0</v>
      </c>
      <c r="AC50" s="475">
        <f t="shared" si="21"/>
        <v>0</v>
      </c>
    </row>
    <row r="51" spans="1:30" x14ac:dyDescent="0.25">
      <c r="A51" s="472" t="s">
        <v>108</v>
      </c>
      <c r="B51" s="478"/>
      <c r="C51" s="484">
        <f>SUM(C33:C49)</f>
        <v>469797.5</v>
      </c>
      <c r="D51" s="484">
        <f>SUM(D33:D49)</f>
        <v>0</v>
      </c>
      <c r="E51" s="484">
        <f>SUM(E33:E49)</f>
        <v>0</v>
      </c>
      <c r="F51" s="484">
        <f t="shared" ref="F51:AC51" si="25">SUM(F33:F49)</f>
        <v>0</v>
      </c>
      <c r="G51" s="484">
        <f t="shared" si="25"/>
        <v>5060</v>
      </c>
      <c r="H51" s="484">
        <f t="shared" si="25"/>
        <v>0</v>
      </c>
      <c r="I51" s="484">
        <f t="shared" si="25"/>
        <v>474857.5</v>
      </c>
      <c r="J51" s="484">
        <f t="shared" si="25"/>
        <v>356143.125</v>
      </c>
      <c r="K51" s="484">
        <f t="shared" si="25"/>
        <v>39571.458333333336</v>
      </c>
      <c r="L51" s="484">
        <f t="shared" si="25"/>
        <v>395714.58333333337</v>
      </c>
      <c r="M51" s="484">
        <f t="shared" si="25"/>
        <v>15352.49</v>
      </c>
      <c r="N51" s="484">
        <f t="shared" si="25"/>
        <v>24911.5</v>
      </c>
      <c r="O51" s="484">
        <f t="shared" si="25"/>
        <v>35973.9</v>
      </c>
      <c r="P51" s="484">
        <f t="shared" si="25"/>
        <v>25278.17</v>
      </c>
      <c r="Q51" s="484">
        <f t="shared" si="25"/>
        <v>22539</v>
      </c>
      <c r="R51" s="484">
        <f t="shared" si="25"/>
        <v>48914.04</v>
      </c>
      <c r="S51" s="484">
        <f t="shared" si="25"/>
        <v>23317.9</v>
      </c>
      <c r="T51" s="484">
        <f t="shared" si="25"/>
        <v>47336</v>
      </c>
      <c r="U51" s="373">
        <f t="shared" si="25"/>
        <v>45675.5</v>
      </c>
      <c r="V51" s="484">
        <f t="shared" si="25"/>
        <v>20598</v>
      </c>
      <c r="W51" s="484">
        <f t="shared" si="25"/>
        <v>0</v>
      </c>
      <c r="X51" s="484">
        <f t="shared" si="25"/>
        <v>0</v>
      </c>
      <c r="Y51" s="484">
        <f t="shared" si="25"/>
        <v>289298.5</v>
      </c>
      <c r="Z51" s="484">
        <f t="shared" si="25"/>
        <v>20598</v>
      </c>
      <c r="AA51" s="484">
        <f t="shared" si="25"/>
        <v>309896.5</v>
      </c>
      <c r="AB51" s="484">
        <f t="shared" si="25"/>
        <v>85818.083333333343</v>
      </c>
      <c r="AC51" s="484">
        <f t="shared" si="25"/>
        <v>164961</v>
      </c>
      <c r="AD51" s="509"/>
    </row>
    <row r="52" spans="1:30" x14ac:dyDescent="0.25">
      <c r="A52" s="473" t="s">
        <v>238</v>
      </c>
      <c r="B52" s="485"/>
      <c r="C52" s="474"/>
      <c r="D52" s="474"/>
      <c r="E52" s="474"/>
      <c r="F52" s="474"/>
      <c r="G52" s="474"/>
      <c r="H52" s="474"/>
      <c r="I52" s="474"/>
      <c r="J52" s="474"/>
      <c r="K52" s="474"/>
      <c r="L52" s="373"/>
      <c r="M52" s="373"/>
      <c r="N52" s="373"/>
      <c r="O52" s="373"/>
      <c r="P52" s="373"/>
      <c r="Q52" s="373"/>
      <c r="R52" s="373"/>
      <c r="S52" s="373"/>
      <c r="T52" s="373"/>
      <c r="U52" s="373"/>
      <c r="V52" s="373"/>
      <c r="W52" s="373"/>
      <c r="X52" s="373"/>
      <c r="Y52" s="373"/>
      <c r="Z52" s="373"/>
      <c r="AA52" s="373"/>
      <c r="AB52" s="373"/>
      <c r="AC52" s="99"/>
      <c r="AD52" s="510"/>
    </row>
    <row r="53" spans="1:30" x14ac:dyDescent="0.25">
      <c r="A53" s="480" t="s">
        <v>329</v>
      </c>
      <c r="B53" s="476"/>
      <c r="C53" s="474"/>
      <c r="D53" s="474"/>
      <c r="E53" s="474"/>
      <c r="F53" s="474"/>
      <c r="G53" s="474"/>
      <c r="H53" s="474"/>
      <c r="I53" s="474"/>
      <c r="J53" s="474"/>
      <c r="K53" s="474"/>
      <c r="L53" s="43"/>
      <c r="M53" s="90"/>
      <c r="N53" s="673"/>
      <c r="O53" s="673"/>
      <c r="P53" s="673"/>
      <c r="Q53" s="673"/>
      <c r="R53" s="673"/>
      <c r="S53" s="673"/>
      <c r="T53" s="99"/>
      <c r="U53" s="673"/>
      <c r="V53" s="99"/>
      <c r="W53" s="99"/>
      <c r="X53" s="99"/>
      <c r="Y53" s="475">
        <f t="shared" ref="Y53:Y57" si="26">M53+N53+O53+P53+Q53+R53+S53+T53+U53</f>
        <v>0</v>
      </c>
      <c r="Z53" s="475">
        <f t="shared" ref="Z53:Z57" si="27">V53</f>
        <v>0</v>
      </c>
      <c r="AA53" s="99"/>
      <c r="AB53" s="99"/>
      <c r="AC53" s="99"/>
    </row>
    <row r="54" spans="1:30" x14ac:dyDescent="0.25">
      <c r="A54" s="505" t="s">
        <v>707</v>
      </c>
      <c r="B54" s="476" t="s">
        <v>113</v>
      </c>
      <c r="C54" s="43"/>
      <c r="D54" s="718"/>
      <c r="E54" s="718"/>
      <c r="F54" s="718"/>
      <c r="G54" s="718"/>
      <c r="H54" s="718"/>
      <c r="I54" s="474">
        <f t="shared" ref="I54:I57" si="28">SUM(C54:H54)</f>
        <v>0</v>
      </c>
      <c r="J54" s="43"/>
      <c r="K54" s="43">
        <f>I54</f>
        <v>0</v>
      </c>
      <c r="L54" s="43">
        <f>I54</f>
        <v>0</v>
      </c>
      <c r="M54" s="90"/>
      <c r="N54" s="673"/>
      <c r="O54" s="673"/>
      <c r="P54" s="673"/>
      <c r="Q54" s="673"/>
      <c r="R54" s="673"/>
      <c r="S54" s="673"/>
      <c r="T54" s="99"/>
      <c r="U54" s="673"/>
      <c r="V54" s="99"/>
      <c r="W54" s="99"/>
      <c r="X54" s="99"/>
      <c r="Y54" s="475">
        <f t="shared" si="26"/>
        <v>0</v>
      </c>
      <c r="Z54" s="475">
        <f t="shared" si="27"/>
        <v>0</v>
      </c>
      <c r="AA54" s="718">
        <f>Y54+Z54</f>
        <v>0</v>
      </c>
      <c r="AB54" s="718">
        <f t="shared" ref="AB54:AB57" si="29">L54-AA54</f>
        <v>0</v>
      </c>
      <c r="AC54" s="475">
        <f t="shared" ref="AC54:AC57" si="30">I54-AA54</f>
        <v>0</v>
      </c>
    </row>
    <row r="55" spans="1:30" x14ac:dyDescent="0.25">
      <c r="A55" s="506" t="s">
        <v>301</v>
      </c>
      <c r="B55" s="476"/>
      <c r="C55" s="43">
        <v>65000</v>
      </c>
      <c r="D55" s="718"/>
      <c r="E55" s="718"/>
      <c r="F55" s="718"/>
      <c r="G55" s="718"/>
      <c r="H55" s="718"/>
      <c r="I55" s="474">
        <f t="shared" si="28"/>
        <v>65000</v>
      </c>
      <c r="J55" s="43">
        <f>I55</f>
        <v>65000</v>
      </c>
      <c r="K55" s="43">
        <f>I55</f>
        <v>65000</v>
      </c>
      <c r="L55" s="43">
        <f>I55</f>
        <v>65000</v>
      </c>
      <c r="M55" s="90"/>
      <c r="N55" s="673"/>
      <c r="O55" s="673"/>
      <c r="P55" s="673"/>
      <c r="Q55" s="673"/>
      <c r="R55" s="673"/>
      <c r="S55" s="673"/>
      <c r="T55" s="99"/>
      <c r="U55" s="673"/>
      <c r="V55" s="99"/>
      <c r="W55" s="99"/>
      <c r="X55" s="99"/>
      <c r="Y55" s="475">
        <f t="shared" si="26"/>
        <v>0</v>
      </c>
      <c r="Z55" s="475">
        <f t="shared" si="27"/>
        <v>0</v>
      </c>
      <c r="AA55" s="718">
        <f>Y55+Z55</f>
        <v>0</v>
      </c>
      <c r="AB55" s="718">
        <f t="shared" si="29"/>
        <v>65000</v>
      </c>
      <c r="AC55" s="475">
        <f t="shared" si="30"/>
        <v>65000</v>
      </c>
    </row>
    <row r="56" spans="1:30" x14ac:dyDescent="0.25">
      <c r="A56" s="507" t="s">
        <v>708</v>
      </c>
      <c r="B56" s="476" t="s">
        <v>116</v>
      </c>
      <c r="C56" s="43"/>
      <c r="D56" s="718"/>
      <c r="E56" s="718"/>
      <c r="F56" s="718"/>
      <c r="G56" s="718"/>
      <c r="H56" s="718"/>
      <c r="I56" s="474">
        <f t="shared" si="28"/>
        <v>0</v>
      </c>
      <c r="J56" s="718">
        <f t="shared" ref="J56:J57" si="31">I56</f>
        <v>0</v>
      </c>
      <c r="K56" s="43">
        <f t="shared" ref="K56:K57" si="32">I56</f>
        <v>0</v>
      </c>
      <c r="L56" s="43">
        <f t="shared" ref="L56:L57" si="33">I56</f>
        <v>0</v>
      </c>
      <c r="M56" s="90"/>
      <c r="N56" s="673"/>
      <c r="O56" s="673"/>
      <c r="P56" s="673"/>
      <c r="Q56" s="673"/>
      <c r="R56" s="673"/>
      <c r="S56" s="673"/>
      <c r="T56" s="99"/>
      <c r="U56" s="673"/>
      <c r="V56" s="99"/>
      <c r="W56" s="99"/>
      <c r="X56" s="99"/>
      <c r="Y56" s="475">
        <f t="shared" si="26"/>
        <v>0</v>
      </c>
      <c r="Z56" s="475">
        <f t="shared" si="27"/>
        <v>0</v>
      </c>
      <c r="AA56" s="718">
        <f>Y56+Z56</f>
        <v>0</v>
      </c>
      <c r="AB56" s="718">
        <f t="shared" si="29"/>
        <v>0</v>
      </c>
      <c r="AC56" s="475">
        <f t="shared" si="30"/>
        <v>0</v>
      </c>
    </row>
    <row r="57" spans="1:30" x14ac:dyDescent="0.25">
      <c r="A57" s="506" t="s">
        <v>709</v>
      </c>
      <c r="B57" s="476"/>
      <c r="C57" s="43">
        <v>8000</v>
      </c>
      <c r="D57" s="718"/>
      <c r="E57" s="718"/>
      <c r="F57" s="718"/>
      <c r="G57" s="718"/>
      <c r="H57" s="718"/>
      <c r="I57" s="474">
        <f t="shared" si="28"/>
        <v>8000</v>
      </c>
      <c r="J57" s="718">
        <f t="shared" si="31"/>
        <v>8000</v>
      </c>
      <c r="K57" s="43">
        <f t="shared" si="32"/>
        <v>8000</v>
      </c>
      <c r="L57" s="43">
        <f t="shared" si="33"/>
        <v>8000</v>
      </c>
      <c r="M57" s="90"/>
      <c r="N57" s="673"/>
      <c r="O57" s="673"/>
      <c r="P57" s="673"/>
      <c r="Q57" s="673"/>
      <c r="R57" s="673"/>
      <c r="S57" s="673"/>
      <c r="T57" s="99">
        <v>7000</v>
      </c>
      <c r="U57" s="673"/>
      <c r="V57" s="99"/>
      <c r="W57" s="99"/>
      <c r="X57" s="99"/>
      <c r="Y57" s="475">
        <f t="shared" si="26"/>
        <v>7000</v>
      </c>
      <c r="Z57" s="475">
        <f t="shared" si="27"/>
        <v>0</v>
      </c>
      <c r="AA57" s="718">
        <f>Y57+Z57</f>
        <v>7000</v>
      </c>
      <c r="AB57" s="718">
        <f t="shared" si="29"/>
        <v>1000</v>
      </c>
      <c r="AC57" s="475">
        <f t="shared" si="30"/>
        <v>1000</v>
      </c>
    </row>
    <row r="58" spans="1:30" s="37" customFormat="1" x14ac:dyDescent="0.25">
      <c r="A58" s="483" t="s">
        <v>328</v>
      </c>
      <c r="B58" s="508"/>
      <c r="C58" s="77">
        <f>SUM(C55:C57)</f>
        <v>73000</v>
      </c>
      <c r="D58" s="725">
        <f t="shared" ref="D58:G58" si="34">SUM(D55:D57)</f>
        <v>0</v>
      </c>
      <c r="E58" s="725">
        <f t="shared" si="34"/>
        <v>0</v>
      </c>
      <c r="F58" s="725">
        <f t="shared" si="34"/>
        <v>0</v>
      </c>
      <c r="G58" s="725">
        <f t="shared" si="34"/>
        <v>0</v>
      </c>
      <c r="H58" s="725">
        <f t="shared" ref="H58:AC58" si="35">SUM(H55:H57)</f>
        <v>0</v>
      </c>
      <c r="I58" s="725">
        <f t="shared" si="35"/>
        <v>73000</v>
      </c>
      <c r="J58" s="725">
        <f t="shared" si="35"/>
        <v>73000</v>
      </c>
      <c r="K58" s="725">
        <f t="shared" si="35"/>
        <v>73000</v>
      </c>
      <c r="L58" s="725">
        <f t="shared" si="35"/>
        <v>73000</v>
      </c>
      <c r="M58" s="725">
        <f t="shared" si="35"/>
        <v>0</v>
      </c>
      <c r="N58" s="725">
        <f t="shared" si="35"/>
        <v>0</v>
      </c>
      <c r="O58" s="725">
        <f t="shared" si="35"/>
        <v>0</v>
      </c>
      <c r="P58" s="725">
        <f t="shared" si="35"/>
        <v>0</v>
      </c>
      <c r="Q58" s="725">
        <f t="shared" si="35"/>
        <v>0</v>
      </c>
      <c r="R58" s="725">
        <f t="shared" si="35"/>
        <v>0</v>
      </c>
      <c r="S58" s="725">
        <f t="shared" si="35"/>
        <v>0</v>
      </c>
      <c r="T58" s="725">
        <f t="shared" si="35"/>
        <v>7000</v>
      </c>
      <c r="U58" s="725">
        <f t="shared" si="35"/>
        <v>0</v>
      </c>
      <c r="V58" s="725">
        <f t="shared" si="35"/>
        <v>0</v>
      </c>
      <c r="W58" s="725">
        <f t="shared" si="35"/>
        <v>0</v>
      </c>
      <c r="X58" s="725">
        <f t="shared" si="35"/>
        <v>0</v>
      </c>
      <c r="Y58" s="725">
        <f>SUM(Y55:Y57)</f>
        <v>7000</v>
      </c>
      <c r="Z58" s="725">
        <f t="shared" si="35"/>
        <v>0</v>
      </c>
      <c r="AA58" s="725">
        <f t="shared" si="35"/>
        <v>7000</v>
      </c>
      <c r="AB58" s="725">
        <f>SUM(AB55:AB57)</f>
        <v>66000</v>
      </c>
      <c r="AC58" s="725">
        <f t="shared" si="35"/>
        <v>66000</v>
      </c>
    </row>
    <row r="59" spans="1:30" x14ac:dyDescent="0.25">
      <c r="A59" s="480" t="s">
        <v>710</v>
      </c>
      <c r="B59" s="476"/>
      <c r="C59" s="43"/>
      <c r="D59" s="718"/>
      <c r="E59" s="718"/>
      <c r="F59" s="718"/>
      <c r="G59" s="718"/>
      <c r="H59" s="718"/>
      <c r="I59" s="474"/>
      <c r="J59" s="43"/>
      <c r="K59" s="43"/>
      <c r="L59" s="43"/>
      <c r="M59" s="90"/>
      <c r="N59" s="673"/>
      <c r="O59" s="673"/>
      <c r="P59" s="673"/>
      <c r="Q59" s="673"/>
      <c r="R59" s="673"/>
      <c r="S59" s="673"/>
      <c r="T59" s="99"/>
      <c r="U59" s="673"/>
      <c r="V59" s="99"/>
      <c r="W59" s="99"/>
      <c r="X59" s="99"/>
      <c r="Y59" s="475">
        <f t="shared" ref="Y59:Y63" si="36">M59+N59+O59+P59+Q59+R59+S59+T59+U59</f>
        <v>0</v>
      </c>
      <c r="Z59" s="475">
        <f t="shared" ref="Z59:Z63" si="37">V59</f>
        <v>0</v>
      </c>
      <c r="AA59" s="77"/>
      <c r="AB59" s="43">
        <f t="shared" ref="AB59:AB63" si="38">L59-AA59</f>
        <v>0</v>
      </c>
      <c r="AC59" s="475">
        <f t="shared" ref="AC59:AC63" si="39">I59-AA59</f>
        <v>0</v>
      </c>
    </row>
    <row r="60" spans="1:30" x14ac:dyDescent="0.25">
      <c r="A60" s="914" t="s">
        <v>1125</v>
      </c>
      <c r="B60" s="476"/>
      <c r="C60" s="43">
        <v>6700</v>
      </c>
      <c r="D60" s="718"/>
      <c r="E60" s="718"/>
      <c r="F60" s="718"/>
      <c r="G60" s="718"/>
      <c r="H60" s="718">
        <f>-6700</f>
        <v>-6700</v>
      </c>
      <c r="I60" s="474">
        <f>SUM(C60:H60)</f>
        <v>0</v>
      </c>
      <c r="J60" s="718">
        <f t="shared" ref="J60:J63" si="40">I60</f>
        <v>0</v>
      </c>
      <c r="K60" s="43">
        <f t="shared" ref="K60:K63" si="41">I60</f>
        <v>0</v>
      </c>
      <c r="L60" s="43">
        <f t="shared" ref="L60:L63" si="42">I60</f>
        <v>0</v>
      </c>
      <c r="M60" s="90"/>
      <c r="N60" s="673"/>
      <c r="O60" s="673"/>
      <c r="P60" s="673"/>
      <c r="Q60" s="673"/>
      <c r="R60" s="673"/>
      <c r="S60" s="673"/>
      <c r="T60" s="99"/>
      <c r="U60" s="673"/>
      <c r="V60" s="99"/>
      <c r="W60" s="99"/>
      <c r="X60" s="99"/>
      <c r="Y60" s="475">
        <f t="shared" si="36"/>
        <v>0</v>
      </c>
      <c r="Z60" s="475">
        <f t="shared" si="37"/>
        <v>0</v>
      </c>
      <c r="AA60" s="718">
        <f t="shared" ref="AA60:AA63" si="43">Y60+Z60</f>
        <v>0</v>
      </c>
      <c r="AB60" s="718">
        <f t="shared" si="38"/>
        <v>0</v>
      </c>
      <c r="AC60" s="475">
        <f t="shared" si="39"/>
        <v>0</v>
      </c>
    </row>
    <row r="61" spans="1:30" x14ac:dyDescent="0.25">
      <c r="A61" s="915" t="s">
        <v>1126</v>
      </c>
      <c r="B61" s="916" t="s">
        <v>113</v>
      </c>
      <c r="C61" s="718"/>
      <c r="D61" s="718"/>
      <c r="E61" s="718"/>
      <c r="F61" s="718"/>
      <c r="G61" s="718"/>
      <c r="H61" s="718"/>
      <c r="I61" s="474">
        <f t="shared" ref="I61:I63" si="44">SUM(C61:H61)</f>
        <v>0</v>
      </c>
      <c r="J61" s="718">
        <f t="shared" si="40"/>
        <v>0</v>
      </c>
      <c r="K61" s="718"/>
      <c r="L61" s="718"/>
      <c r="M61" s="673"/>
      <c r="N61" s="673"/>
      <c r="O61" s="673"/>
      <c r="P61" s="673"/>
      <c r="Q61" s="673"/>
      <c r="R61" s="673"/>
      <c r="S61" s="673"/>
      <c r="T61" s="913"/>
      <c r="U61" s="673"/>
      <c r="V61" s="913"/>
      <c r="W61" s="913"/>
      <c r="X61" s="913"/>
      <c r="Y61" s="475">
        <f t="shared" si="36"/>
        <v>0</v>
      </c>
      <c r="Z61" s="475">
        <f t="shared" si="37"/>
        <v>0</v>
      </c>
      <c r="AA61" s="718">
        <f t="shared" si="43"/>
        <v>0</v>
      </c>
      <c r="AB61" s="718">
        <f t="shared" si="38"/>
        <v>0</v>
      </c>
      <c r="AC61" s="475">
        <f t="shared" si="39"/>
        <v>0</v>
      </c>
    </row>
    <row r="62" spans="1:30" x14ac:dyDescent="0.25">
      <c r="A62" s="235" t="s">
        <v>301</v>
      </c>
      <c r="B62" s="476"/>
      <c r="C62" s="718">
        <v>18300</v>
      </c>
      <c r="D62" s="718"/>
      <c r="E62" s="718"/>
      <c r="F62" s="718"/>
      <c r="G62" s="718"/>
      <c r="H62" s="718"/>
      <c r="I62" s="474">
        <f t="shared" si="44"/>
        <v>18300</v>
      </c>
      <c r="J62" s="718">
        <f t="shared" si="40"/>
        <v>18300</v>
      </c>
      <c r="K62" s="718">
        <f t="shared" ref="K62" si="45">I62</f>
        <v>18300</v>
      </c>
      <c r="L62" s="718">
        <f t="shared" si="42"/>
        <v>18300</v>
      </c>
      <c r="M62" s="673"/>
      <c r="N62" s="673"/>
      <c r="O62" s="673"/>
      <c r="P62" s="673"/>
      <c r="Q62" s="673"/>
      <c r="R62" s="673"/>
      <c r="S62" s="673"/>
      <c r="T62" s="913"/>
      <c r="U62" s="673"/>
      <c r="V62" s="913"/>
      <c r="W62" s="913"/>
      <c r="X62" s="913"/>
      <c r="Y62" s="475">
        <f t="shared" si="36"/>
        <v>0</v>
      </c>
      <c r="Z62" s="475">
        <f t="shared" si="37"/>
        <v>0</v>
      </c>
      <c r="AA62" s="718">
        <f t="shared" si="43"/>
        <v>0</v>
      </c>
      <c r="AB62" s="718">
        <f t="shared" si="38"/>
        <v>18300</v>
      </c>
      <c r="AC62" s="475">
        <f t="shared" si="39"/>
        <v>18300</v>
      </c>
    </row>
    <row r="63" spans="1:30" x14ac:dyDescent="0.25">
      <c r="A63" s="917" t="s">
        <v>1127</v>
      </c>
      <c r="B63" s="476"/>
      <c r="C63" s="43">
        <v>7000</v>
      </c>
      <c r="D63" s="718"/>
      <c r="E63" s="718"/>
      <c r="F63" s="718"/>
      <c r="G63" s="718"/>
      <c r="H63" s="718"/>
      <c r="I63" s="474">
        <f t="shared" si="44"/>
        <v>7000</v>
      </c>
      <c r="J63" s="718">
        <f t="shared" si="40"/>
        <v>7000</v>
      </c>
      <c r="K63" s="43">
        <f t="shared" si="41"/>
        <v>7000</v>
      </c>
      <c r="L63" s="43">
        <f t="shared" si="42"/>
        <v>7000</v>
      </c>
      <c r="M63" s="90"/>
      <c r="N63" s="673"/>
      <c r="O63" s="673"/>
      <c r="P63" s="673"/>
      <c r="Q63" s="673"/>
      <c r="R63" s="673"/>
      <c r="S63" s="673"/>
      <c r="T63" s="99"/>
      <c r="U63" s="673"/>
      <c r="V63" s="99"/>
      <c r="W63" s="99"/>
      <c r="X63" s="99"/>
      <c r="Y63" s="475">
        <f t="shared" si="36"/>
        <v>0</v>
      </c>
      <c r="Z63" s="475">
        <f t="shared" si="37"/>
        <v>0</v>
      </c>
      <c r="AA63" s="718">
        <f t="shared" si="43"/>
        <v>0</v>
      </c>
      <c r="AB63" s="718">
        <f t="shared" si="38"/>
        <v>7000</v>
      </c>
      <c r="AC63" s="475">
        <f t="shared" si="39"/>
        <v>7000</v>
      </c>
    </row>
    <row r="64" spans="1:30" s="37" customFormat="1" x14ac:dyDescent="0.25">
      <c r="A64" s="483" t="s">
        <v>339</v>
      </c>
      <c r="B64" s="508"/>
      <c r="C64" s="77">
        <f>SUM(C60:C63)</f>
        <v>32000</v>
      </c>
      <c r="D64" s="725">
        <f>SUM(D60:D63)</f>
        <v>0</v>
      </c>
      <c r="E64" s="725">
        <f>SUM(E60:E63)</f>
        <v>0</v>
      </c>
      <c r="F64" s="725">
        <f t="shared" ref="F64:AC64" si="46">SUM(F60:F63)</f>
        <v>0</v>
      </c>
      <c r="G64" s="725">
        <f t="shared" ref="G64" si="47">SUM(G60:G63)</f>
        <v>0</v>
      </c>
      <c r="H64" s="725">
        <f t="shared" si="46"/>
        <v>-6700</v>
      </c>
      <c r="I64" s="725">
        <f t="shared" si="46"/>
        <v>25300</v>
      </c>
      <c r="J64" s="725">
        <f t="shared" si="46"/>
        <v>25300</v>
      </c>
      <c r="K64" s="725">
        <f t="shared" si="46"/>
        <v>25300</v>
      </c>
      <c r="L64" s="725">
        <f t="shared" si="46"/>
        <v>25300</v>
      </c>
      <c r="M64" s="725">
        <f t="shared" si="46"/>
        <v>0</v>
      </c>
      <c r="N64" s="725">
        <f t="shared" si="46"/>
        <v>0</v>
      </c>
      <c r="O64" s="725">
        <f t="shared" si="46"/>
        <v>0</v>
      </c>
      <c r="P64" s="725">
        <f t="shared" si="46"/>
        <v>0</v>
      </c>
      <c r="Q64" s="725">
        <f t="shared" si="46"/>
        <v>0</v>
      </c>
      <c r="R64" s="725">
        <f t="shared" si="46"/>
        <v>0</v>
      </c>
      <c r="S64" s="725">
        <f t="shared" si="46"/>
        <v>0</v>
      </c>
      <c r="T64" s="725">
        <f t="shared" si="46"/>
        <v>0</v>
      </c>
      <c r="U64" s="725">
        <f t="shared" si="46"/>
        <v>0</v>
      </c>
      <c r="V64" s="725">
        <f t="shared" si="46"/>
        <v>0</v>
      </c>
      <c r="W64" s="725">
        <f t="shared" si="46"/>
        <v>0</v>
      </c>
      <c r="X64" s="725">
        <f t="shared" si="46"/>
        <v>0</v>
      </c>
      <c r="Y64" s="725">
        <f t="shared" si="46"/>
        <v>0</v>
      </c>
      <c r="Z64" s="725">
        <f t="shared" si="46"/>
        <v>0</v>
      </c>
      <c r="AA64" s="725">
        <f t="shared" si="46"/>
        <v>0</v>
      </c>
      <c r="AB64" s="725">
        <f t="shared" si="46"/>
        <v>25300</v>
      </c>
      <c r="AC64" s="725">
        <f t="shared" si="46"/>
        <v>25300</v>
      </c>
    </row>
    <row r="65" spans="1:29" x14ac:dyDescent="0.25">
      <c r="A65" s="472" t="s">
        <v>119</v>
      </c>
      <c r="B65" s="472"/>
      <c r="C65" s="484">
        <f>C58+C64</f>
        <v>105000</v>
      </c>
      <c r="D65" s="484">
        <f>D58+D64</f>
        <v>0</v>
      </c>
      <c r="E65" s="484">
        <f>E58+E64</f>
        <v>0</v>
      </c>
      <c r="F65" s="484">
        <f t="shared" ref="F65:AC65" si="48">F58+F64</f>
        <v>0</v>
      </c>
      <c r="G65" s="484">
        <f t="shared" ref="G65" si="49">G58+G64</f>
        <v>0</v>
      </c>
      <c r="H65" s="484">
        <f t="shared" si="48"/>
        <v>-6700</v>
      </c>
      <c r="I65" s="484">
        <f t="shared" si="48"/>
        <v>98300</v>
      </c>
      <c r="J65" s="484">
        <f t="shared" si="48"/>
        <v>98300</v>
      </c>
      <c r="K65" s="484">
        <f t="shared" si="48"/>
        <v>98300</v>
      </c>
      <c r="L65" s="484">
        <f t="shared" si="48"/>
        <v>98300</v>
      </c>
      <c r="M65" s="484">
        <f t="shared" si="48"/>
        <v>0</v>
      </c>
      <c r="N65" s="484">
        <f t="shared" si="48"/>
        <v>0</v>
      </c>
      <c r="O65" s="484">
        <f t="shared" si="48"/>
        <v>0</v>
      </c>
      <c r="P65" s="484">
        <f t="shared" si="48"/>
        <v>0</v>
      </c>
      <c r="Q65" s="484">
        <f t="shared" si="48"/>
        <v>0</v>
      </c>
      <c r="R65" s="484">
        <f t="shared" si="48"/>
        <v>0</v>
      </c>
      <c r="S65" s="484">
        <f t="shared" si="48"/>
        <v>0</v>
      </c>
      <c r="T65" s="484">
        <f t="shared" si="48"/>
        <v>7000</v>
      </c>
      <c r="U65" s="373">
        <f t="shared" si="48"/>
        <v>0</v>
      </c>
      <c r="V65" s="484">
        <f t="shared" si="48"/>
        <v>0</v>
      </c>
      <c r="W65" s="484">
        <f t="shared" si="48"/>
        <v>0</v>
      </c>
      <c r="X65" s="484">
        <f t="shared" si="48"/>
        <v>0</v>
      </c>
      <c r="Y65" s="484">
        <f t="shared" si="48"/>
        <v>7000</v>
      </c>
      <c r="Z65" s="484">
        <f t="shared" si="48"/>
        <v>0</v>
      </c>
      <c r="AA65" s="484">
        <f t="shared" si="48"/>
        <v>7000</v>
      </c>
      <c r="AB65" s="484">
        <f t="shared" si="48"/>
        <v>91300</v>
      </c>
      <c r="AC65" s="484">
        <f t="shared" si="48"/>
        <v>91300</v>
      </c>
    </row>
    <row r="66" spans="1:29" ht="15.75" thickBot="1" x14ac:dyDescent="0.3">
      <c r="A66" s="486" t="s">
        <v>160</v>
      </c>
      <c r="B66" s="486"/>
      <c r="C66" s="487">
        <f>+C65+C51+C30</f>
        <v>2643912.7400000002</v>
      </c>
      <c r="D66" s="487">
        <f>+D65+D51+D30</f>
        <v>187737.21</v>
      </c>
      <c r="E66" s="487">
        <f>+E65+E51+E30</f>
        <v>0</v>
      </c>
      <c r="F66" s="487">
        <f t="shared" ref="F66:AC66" si="50">+F65+F51+F30</f>
        <v>0</v>
      </c>
      <c r="G66" s="487">
        <f t="shared" ref="G66" si="51">+G65+G51+G30</f>
        <v>5060</v>
      </c>
      <c r="H66" s="487">
        <f t="shared" si="50"/>
        <v>-6700</v>
      </c>
      <c r="I66" s="487">
        <f t="shared" si="50"/>
        <v>2830009.95</v>
      </c>
      <c r="J66" s="487">
        <f t="shared" si="50"/>
        <v>2151082.4624999999</v>
      </c>
      <c r="K66" s="487">
        <f t="shared" si="50"/>
        <v>325942.49583333335</v>
      </c>
      <c r="L66" s="487">
        <f t="shared" si="50"/>
        <v>2378724.958333333</v>
      </c>
      <c r="M66" s="487">
        <f t="shared" si="50"/>
        <v>176070.05</v>
      </c>
      <c r="N66" s="487">
        <f t="shared" si="50"/>
        <v>169629.06</v>
      </c>
      <c r="O66" s="487">
        <f t="shared" si="50"/>
        <v>180691.46</v>
      </c>
      <c r="P66" s="487">
        <f t="shared" si="50"/>
        <v>183658.87</v>
      </c>
      <c r="Q66" s="487">
        <f t="shared" si="50"/>
        <v>281449.48</v>
      </c>
      <c r="R66" s="487">
        <f t="shared" si="50"/>
        <v>197065.52</v>
      </c>
      <c r="S66" s="487">
        <f t="shared" si="50"/>
        <v>171569.84999999998</v>
      </c>
      <c r="T66" s="487">
        <f t="shared" si="50"/>
        <v>202590.28</v>
      </c>
      <c r="U66" s="487">
        <f t="shared" si="50"/>
        <v>193929.78</v>
      </c>
      <c r="V66" s="487">
        <f t="shared" si="50"/>
        <v>172152.28</v>
      </c>
      <c r="W66" s="487">
        <f t="shared" si="50"/>
        <v>0</v>
      </c>
      <c r="X66" s="487">
        <f t="shared" si="50"/>
        <v>0</v>
      </c>
      <c r="Y66" s="487">
        <f t="shared" si="50"/>
        <v>1756654.35</v>
      </c>
      <c r="Z66" s="487">
        <f t="shared" si="50"/>
        <v>172152.28</v>
      </c>
      <c r="AA66" s="487">
        <f t="shared" si="50"/>
        <v>1928806.63</v>
      </c>
      <c r="AB66" s="487">
        <f t="shared" si="50"/>
        <v>449918.32833333348</v>
      </c>
      <c r="AC66" s="487">
        <f t="shared" si="50"/>
        <v>901203.32</v>
      </c>
    </row>
    <row r="67" spans="1:29" ht="15.75" thickTop="1" x14ac:dyDescent="0.25"/>
    <row r="68" spans="1:29" x14ac:dyDescent="0.25">
      <c r="A68" s="29" t="s">
        <v>354</v>
      </c>
      <c r="B68" s="488"/>
      <c r="C68" s="489"/>
      <c r="D68" s="489"/>
      <c r="E68" s="489"/>
      <c r="F68" s="489"/>
      <c r="G68" s="489"/>
      <c r="H68" s="489"/>
      <c r="I68" s="489"/>
      <c r="J68" s="489"/>
      <c r="K68" s="489"/>
      <c r="AB68" s="490" t="s">
        <v>357</v>
      </c>
    </row>
    <row r="70" spans="1:29" x14ac:dyDescent="0.25">
      <c r="B70" s="491"/>
      <c r="C70" s="492"/>
      <c r="D70" s="492"/>
      <c r="E70" s="492"/>
      <c r="F70" s="492"/>
      <c r="G70" s="492"/>
      <c r="H70" s="492"/>
      <c r="I70" s="492"/>
      <c r="J70" s="492"/>
      <c r="K70" s="492"/>
    </row>
    <row r="73" spans="1:29" x14ac:dyDescent="0.25">
      <c r="A73" s="493" t="s">
        <v>355</v>
      </c>
      <c r="B73" s="494"/>
      <c r="C73" s="495"/>
      <c r="D73" s="495"/>
      <c r="E73" s="495"/>
      <c r="F73" s="495"/>
      <c r="G73" s="495"/>
      <c r="H73" s="495"/>
      <c r="I73" s="495"/>
      <c r="J73" s="495"/>
      <c r="K73" s="495"/>
      <c r="AB73" s="496" t="s">
        <v>358</v>
      </c>
    </row>
    <row r="74" spans="1:29" x14ac:dyDescent="0.25">
      <c r="A74" s="490" t="s">
        <v>356</v>
      </c>
      <c r="AB74" s="490" t="s">
        <v>359</v>
      </c>
    </row>
  </sheetData>
  <mergeCells count="3">
    <mergeCell ref="A1:AC1"/>
    <mergeCell ref="A2:AC2"/>
    <mergeCell ref="A3:AC3"/>
  </mergeCells>
  <printOptions horizontalCentered="1" headings="1"/>
  <pageMargins left="0.7" right="0.2" top="1.5" bottom="0.25" header="0.3" footer="0.3"/>
  <pageSetup paperSize="5" scale="58" orientation="landscape" horizontalDpi="360" verticalDpi="360" r:id="rId1"/>
  <rowBreaks count="1" manualBreakCount="1">
    <brk id="41" max="27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view="pageBreakPreview" zoomScale="77" zoomScaleNormal="100" zoomScaleSheetLayoutView="77" workbookViewId="0">
      <pane xSplit="1" topLeftCell="X1" activePane="topRight" state="frozen"/>
      <selection pane="topRight" activeCell="Z18" sqref="Z18"/>
    </sheetView>
  </sheetViews>
  <sheetFormatPr defaultRowHeight="15" outlineLevelCol="1" x14ac:dyDescent="0.25"/>
  <cols>
    <col min="1" max="1" width="38.85546875" style="21" customWidth="1"/>
    <col min="2" max="2" width="12.7109375" style="21" customWidth="1"/>
    <col min="3" max="3" width="13.5703125" style="21" customWidth="1"/>
    <col min="4" max="4" width="14.28515625" style="987" customWidth="1"/>
    <col min="5" max="5" width="16.85546875" style="987" customWidth="1"/>
    <col min="6" max="6" width="15.85546875" style="987" customWidth="1"/>
    <col min="7" max="7" width="13.5703125" style="987" customWidth="1"/>
    <col min="8" max="9" width="13.5703125" style="21" customWidth="1"/>
    <col min="10" max="10" width="14.28515625" style="21" customWidth="1"/>
    <col min="11" max="11" width="15.7109375" style="21" customWidth="1"/>
    <col min="12" max="17" width="12.7109375" style="21" hidden="1" customWidth="1" outlineLevel="1"/>
    <col min="18" max="18" width="14" style="21" hidden="1" customWidth="1" outlineLevel="1"/>
    <col min="19" max="19" width="14.42578125" style="21" hidden="1" customWidth="1" outlineLevel="1"/>
    <col min="20" max="20" width="15.7109375" style="21" hidden="1" customWidth="1" outlineLevel="1"/>
    <col min="21" max="21" width="16.28515625" style="21" hidden="1" customWidth="1" outlineLevel="1"/>
    <col min="22" max="23" width="12.7109375" style="21" hidden="1" customWidth="1" outlineLevel="1"/>
    <col min="24" max="24" width="12.7109375" style="21" customWidth="1" collapsed="1"/>
    <col min="25" max="25" width="12.7109375" style="21" customWidth="1"/>
    <col min="26" max="26" width="15" style="21" customWidth="1"/>
    <col min="27" max="27" width="12.7109375" style="21" customWidth="1"/>
    <col min="28" max="28" width="15.42578125" style="21" customWidth="1"/>
    <col min="29" max="16384" width="9.140625" style="21"/>
  </cols>
  <sheetData>
    <row r="1" spans="1:28" x14ac:dyDescent="0.25">
      <c r="A1" s="1432" t="s">
        <v>352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1432"/>
      <c r="M1" s="1432"/>
      <c r="N1" s="1432"/>
      <c r="O1" s="1432"/>
      <c r="P1" s="1432"/>
      <c r="Q1" s="1432"/>
      <c r="R1" s="1432"/>
      <c r="S1" s="1432"/>
      <c r="T1" s="1432"/>
      <c r="U1" s="1432"/>
      <c r="V1" s="1432"/>
      <c r="W1" s="1432"/>
      <c r="X1" s="1432"/>
      <c r="Y1" s="1432"/>
      <c r="Z1" s="1432"/>
      <c r="AA1" s="1432"/>
      <c r="AB1" s="1432"/>
    </row>
    <row r="2" spans="1:28" x14ac:dyDescent="0.25">
      <c r="A2" s="1432" t="s">
        <v>353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1432"/>
      <c r="Y2" s="1432"/>
      <c r="Z2" s="1432"/>
      <c r="AA2" s="1432"/>
      <c r="AB2" s="1432"/>
    </row>
    <row r="3" spans="1:28" ht="15.75" thickBot="1" x14ac:dyDescent="0.3">
      <c r="A3" s="1433" t="str">
        <f>'1051-MCRO'!A3:AC3</f>
        <v>For the Period October 1-31, 2021</v>
      </c>
      <c r="B3" s="1433"/>
      <c r="C3" s="1433"/>
      <c r="D3" s="1433"/>
      <c r="E3" s="1433"/>
      <c r="F3" s="1433"/>
      <c r="G3" s="1433"/>
      <c r="H3" s="1433"/>
      <c r="I3" s="1433"/>
      <c r="J3" s="1433"/>
      <c r="K3" s="1433"/>
      <c r="L3" s="1433"/>
      <c r="M3" s="1433"/>
      <c r="N3" s="1433"/>
      <c r="O3" s="1433"/>
      <c r="P3" s="1433"/>
      <c r="Q3" s="1433"/>
      <c r="R3" s="1433"/>
      <c r="S3" s="1433"/>
      <c r="T3" s="1433"/>
      <c r="U3" s="1433"/>
      <c r="V3" s="1433"/>
      <c r="W3" s="1433"/>
      <c r="X3" s="1433"/>
      <c r="Y3" s="1433"/>
      <c r="Z3" s="1433"/>
      <c r="AA3" s="1433"/>
      <c r="AB3" s="1433"/>
    </row>
    <row r="4" spans="1:28" ht="15.75" thickTop="1" x14ac:dyDescent="0.25">
      <c r="A4" s="71" t="s">
        <v>347</v>
      </c>
      <c r="B4" s="18" t="s">
        <v>2</v>
      </c>
      <c r="C4" s="18" t="s">
        <v>133</v>
      </c>
      <c r="D4" s="711" t="s">
        <v>1374</v>
      </c>
      <c r="E4" s="711" t="s">
        <v>1338</v>
      </c>
      <c r="F4" s="1239" t="s">
        <v>1205</v>
      </c>
      <c r="G4" s="711" t="s">
        <v>1324</v>
      </c>
      <c r="H4" s="71" t="s">
        <v>1</v>
      </c>
      <c r="I4" s="71" t="s">
        <v>316</v>
      </c>
      <c r="J4" s="71" t="s">
        <v>314</v>
      </c>
      <c r="K4" s="74" t="s">
        <v>346</v>
      </c>
      <c r="L4" s="19"/>
      <c r="M4" s="19"/>
      <c r="N4" s="19"/>
      <c r="O4" s="19"/>
      <c r="P4" s="24"/>
      <c r="Q4" s="24"/>
      <c r="R4" s="24"/>
      <c r="S4" s="24"/>
      <c r="T4" s="24"/>
      <c r="U4" s="24"/>
      <c r="V4" s="24"/>
      <c r="W4" s="24"/>
      <c r="X4" s="74" t="s">
        <v>316</v>
      </c>
      <c r="Y4" s="74" t="s">
        <v>348</v>
      </c>
      <c r="Z4" s="74" t="s">
        <v>1</v>
      </c>
      <c r="AA4" s="74" t="s">
        <v>131</v>
      </c>
      <c r="AB4" s="74" t="s">
        <v>131</v>
      </c>
    </row>
    <row r="5" spans="1:28" ht="15.75" thickBot="1" x14ac:dyDescent="0.3">
      <c r="A5" s="25"/>
      <c r="B5" s="25" t="s">
        <v>3</v>
      </c>
      <c r="C5" s="25" t="s">
        <v>134</v>
      </c>
      <c r="D5" s="1271">
        <v>44459</v>
      </c>
      <c r="E5" s="25" t="s">
        <v>1340</v>
      </c>
      <c r="F5" s="25" t="s">
        <v>1354</v>
      </c>
      <c r="G5" s="25" t="s">
        <v>1323</v>
      </c>
      <c r="H5" s="85" t="s">
        <v>314</v>
      </c>
      <c r="I5" s="85" t="s">
        <v>314</v>
      </c>
      <c r="J5" s="85" t="s">
        <v>315</v>
      </c>
      <c r="K5" s="75" t="s">
        <v>315</v>
      </c>
      <c r="L5" s="27" t="s">
        <v>0</v>
      </c>
      <c r="M5" s="27" t="s">
        <v>120</v>
      </c>
      <c r="N5" s="27" t="s">
        <v>121</v>
      </c>
      <c r="O5" s="27" t="s">
        <v>122</v>
      </c>
      <c r="P5" s="27" t="s">
        <v>123</v>
      </c>
      <c r="Q5" s="27" t="s">
        <v>124</v>
      </c>
      <c r="R5" s="27" t="s">
        <v>125</v>
      </c>
      <c r="S5" s="27" t="s">
        <v>126</v>
      </c>
      <c r="T5" s="27" t="s">
        <v>127</v>
      </c>
      <c r="U5" s="27" t="s">
        <v>128</v>
      </c>
      <c r="V5" s="27" t="s">
        <v>129</v>
      </c>
      <c r="W5" s="27" t="s">
        <v>130</v>
      </c>
      <c r="X5" s="75" t="s">
        <v>317</v>
      </c>
      <c r="Y5" s="75" t="s">
        <v>315</v>
      </c>
      <c r="Z5" s="75" t="s">
        <v>317</v>
      </c>
      <c r="AA5" s="75" t="s">
        <v>314</v>
      </c>
      <c r="AB5" s="75" t="s">
        <v>132</v>
      </c>
    </row>
    <row r="6" spans="1:28" ht="15.75" thickTop="1" x14ac:dyDescent="0.25">
      <c r="A6" s="444" t="s">
        <v>733</v>
      </c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</row>
    <row r="7" spans="1:28" x14ac:dyDescent="0.25">
      <c r="A7" s="190" t="s">
        <v>4</v>
      </c>
      <c r="B7" s="186"/>
      <c r="C7" s="188"/>
      <c r="D7" s="937"/>
      <c r="E7" s="937"/>
      <c r="F7" s="937"/>
      <c r="G7" s="937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09"/>
      <c r="AA7" s="40"/>
      <c r="AB7" s="188"/>
    </row>
    <row r="8" spans="1:28" hidden="1" x14ac:dyDescent="0.25">
      <c r="A8" s="511" t="s">
        <v>659</v>
      </c>
      <c r="B8" s="169" t="s">
        <v>8</v>
      </c>
      <c r="C8" s="40"/>
      <c r="D8" s="989"/>
      <c r="E8" s="989"/>
      <c r="F8" s="989"/>
      <c r="G8" s="989"/>
      <c r="H8" s="40">
        <f t="shared" ref="H8" si="0">C8</f>
        <v>0</v>
      </c>
      <c r="I8" s="40"/>
      <c r="J8" s="40"/>
      <c r="K8" s="40">
        <f>SUM(C8:J8)</f>
        <v>0</v>
      </c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188"/>
      <c r="Z8" s="109">
        <f>SUM(L8:W8)</f>
        <v>0</v>
      </c>
      <c r="AA8" s="40">
        <f t="shared" ref="AA8" si="1">K8-Z8</f>
        <v>0</v>
      </c>
      <c r="AB8" s="188"/>
    </row>
    <row r="9" spans="1:28" x14ac:dyDescent="0.25">
      <c r="A9" s="200" t="s">
        <v>713</v>
      </c>
      <c r="B9" s="87" t="s">
        <v>6</v>
      </c>
      <c r="C9" s="40">
        <v>1441012</v>
      </c>
      <c r="D9" s="989">
        <f>-14601</f>
        <v>-14601</v>
      </c>
      <c r="E9" s="989">
        <f>-58404</f>
        <v>-58404</v>
      </c>
      <c r="F9" s="989"/>
      <c r="G9" s="989">
        <f>-29202</f>
        <v>-29202</v>
      </c>
      <c r="H9" s="40">
        <f>SUM(C9:G9)</f>
        <v>1338805</v>
      </c>
      <c r="I9" s="40">
        <f>H9/12*9</f>
        <v>1004103.75</v>
      </c>
      <c r="J9" s="40">
        <f t="shared" ref="J9" si="2">H9/12</f>
        <v>111567.08333333333</v>
      </c>
      <c r="K9" s="40">
        <f t="shared" ref="K9" si="3">I9+J9</f>
        <v>1115670.8333333333</v>
      </c>
      <c r="L9" s="265">
        <v>101786</v>
      </c>
      <c r="M9" s="997">
        <v>101786</v>
      </c>
      <c r="N9" s="265">
        <v>102897</v>
      </c>
      <c r="O9" s="265">
        <v>113151</v>
      </c>
      <c r="P9" s="265">
        <v>105471</v>
      </c>
      <c r="Q9" s="265">
        <v>105471</v>
      </c>
      <c r="R9" s="265">
        <v>105860.16</v>
      </c>
      <c r="S9" s="265">
        <v>105873</v>
      </c>
      <c r="T9" s="265">
        <v>105873</v>
      </c>
      <c r="U9" s="997">
        <v>105873</v>
      </c>
      <c r="V9" s="265"/>
      <c r="W9" s="265"/>
      <c r="X9" s="265">
        <f>L9+M9+N9+O9+P9+Q9+R9+S9+T9</f>
        <v>948168.16</v>
      </c>
      <c r="Y9" s="265">
        <f>U9</f>
        <v>105873</v>
      </c>
      <c r="Z9" s="40">
        <f t="shared" ref="Z9" si="4">X9+Y9</f>
        <v>1054041.1600000001</v>
      </c>
      <c r="AA9" s="40">
        <f>K9-Z9</f>
        <v>61629.673333333107</v>
      </c>
      <c r="AB9" s="322">
        <f>H9-Z9</f>
        <v>284763.83999999985</v>
      </c>
    </row>
    <row r="10" spans="1:28" x14ac:dyDescent="0.25">
      <c r="A10" s="200" t="s">
        <v>714</v>
      </c>
      <c r="B10" s="87" t="s">
        <v>8</v>
      </c>
      <c r="C10" s="40"/>
      <c r="D10" s="989"/>
      <c r="E10" s="989"/>
      <c r="F10" s="989"/>
      <c r="G10" s="989"/>
      <c r="H10" s="989">
        <f t="shared" ref="H10:H31" si="5">SUM(C10:G10)</f>
        <v>0</v>
      </c>
      <c r="I10" s="989">
        <f t="shared" ref="I10:I31" si="6">H10/12*9</f>
        <v>0</v>
      </c>
      <c r="J10" s="989">
        <f t="shared" ref="J10:J30" si="7">H10/12</f>
        <v>0</v>
      </c>
      <c r="K10" s="40">
        <f t="shared" ref="K10:K22" si="8">I10+J10</f>
        <v>0</v>
      </c>
      <c r="L10" s="265"/>
      <c r="M10" s="997"/>
      <c r="N10" s="265"/>
      <c r="O10" s="265"/>
      <c r="P10" s="265"/>
      <c r="Q10" s="265"/>
      <c r="R10" s="265"/>
      <c r="S10" s="265"/>
      <c r="T10" s="265"/>
      <c r="U10" s="997"/>
      <c r="V10" s="265"/>
      <c r="W10" s="265"/>
      <c r="X10" s="997">
        <f t="shared" ref="X10:X31" si="9">L10+M10+N10+O10+P10+Q10+R10+S10+T10</f>
        <v>0</v>
      </c>
      <c r="Y10" s="997">
        <f t="shared" ref="Y10:Y31" si="10">U10</f>
        <v>0</v>
      </c>
      <c r="Z10" s="989">
        <f t="shared" ref="Z10:Z31" si="11">X10+Y10</f>
        <v>0</v>
      </c>
      <c r="AA10" s="989">
        <f t="shared" ref="AA10:AA31" si="12">K10-Z10</f>
        <v>0</v>
      </c>
      <c r="AB10" s="996">
        <f t="shared" ref="AB10:AB31" si="13">H10-Z10</f>
        <v>0</v>
      </c>
    </row>
    <row r="11" spans="1:28" x14ac:dyDescent="0.25">
      <c r="A11" s="511" t="s">
        <v>661</v>
      </c>
      <c r="B11" s="87"/>
      <c r="C11" s="40"/>
      <c r="D11" s="989"/>
      <c r="E11" s="989"/>
      <c r="F11" s="989"/>
      <c r="G11" s="989"/>
      <c r="H11" s="989">
        <f t="shared" si="5"/>
        <v>0</v>
      </c>
      <c r="I11" s="989">
        <f t="shared" si="6"/>
        <v>0</v>
      </c>
      <c r="J11" s="989">
        <f t="shared" si="7"/>
        <v>0</v>
      </c>
      <c r="K11" s="40">
        <f t="shared" si="8"/>
        <v>0</v>
      </c>
      <c r="L11" s="265"/>
      <c r="M11" s="997"/>
      <c r="N11" s="265"/>
      <c r="O11" s="265"/>
      <c r="P11" s="265"/>
      <c r="Q11" s="265"/>
      <c r="R11" s="265"/>
      <c r="S11" s="265"/>
      <c r="T11" s="265"/>
      <c r="U11" s="997"/>
      <c r="V11" s="265"/>
      <c r="W11" s="265"/>
      <c r="X11" s="997">
        <f t="shared" si="9"/>
        <v>0</v>
      </c>
      <c r="Y11" s="997">
        <f t="shared" si="10"/>
        <v>0</v>
      </c>
      <c r="Z11" s="989">
        <f t="shared" si="11"/>
        <v>0</v>
      </c>
      <c r="AA11" s="989">
        <f t="shared" si="12"/>
        <v>0</v>
      </c>
      <c r="AB11" s="996">
        <f t="shared" si="13"/>
        <v>0</v>
      </c>
    </row>
    <row r="12" spans="1:28" x14ac:dyDescent="0.25">
      <c r="A12" s="200" t="s">
        <v>662</v>
      </c>
      <c r="B12" s="169" t="s">
        <v>11</v>
      </c>
      <c r="C12" s="52">
        <v>72000</v>
      </c>
      <c r="D12" s="720">
        <f>-4000</f>
        <v>-4000</v>
      </c>
      <c r="E12" s="720">
        <f>-8000</f>
        <v>-8000</v>
      </c>
      <c r="F12" s="720"/>
      <c r="G12" s="720">
        <f>-4000</f>
        <v>-4000</v>
      </c>
      <c r="H12" s="989">
        <f t="shared" si="5"/>
        <v>56000</v>
      </c>
      <c r="I12" s="989">
        <f t="shared" si="6"/>
        <v>42000</v>
      </c>
      <c r="J12" s="989">
        <f t="shared" si="7"/>
        <v>4666.666666666667</v>
      </c>
      <c r="K12" s="40">
        <f t="shared" si="8"/>
        <v>46666.666666666664</v>
      </c>
      <c r="L12" s="265">
        <v>4000</v>
      </c>
      <c r="M12" s="997">
        <v>4000</v>
      </c>
      <c r="N12" s="265">
        <v>4000</v>
      </c>
      <c r="O12" s="265">
        <v>4000</v>
      </c>
      <c r="P12" s="265">
        <v>4000</v>
      </c>
      <c r="Q12" s="265">
        <v>4000</v>
      </c>
      <c r="R12" s="265">
        <v>4000</v>
      </c>
      <c r="S12" s="265">
        <v>4000</v>
      </c>
      <c r="T12" s="265">
        <v>4000</v>
      </c>
      <c r="U12" s="997">
        <v>4000</v>
      </c>
      <c r="V12" s="265"/>
      <c r="W12" s="265"/>
      <c r="X12" s="997">
        <f t="shared" si="9"/>
        <v>36000</v>
      </c>
      <c r="Y12" s="997">
        <f t="shared" si="10"/>
        <v>4000</v>
      </c>
      <c r="Z12" s="989">
        <f t="shared" si="11"/>
        <v>40000</v>
      </c>
      <c r="AA12" s="989">
        <f t="shared" si="12"/>
        <v>6666.6666666666642</v>
      </c>
      <c r="AB12" s="996">
        <f t="shared" si="13"/>
        <v>16000</v>
      </c>
    </row>
    <row r="13" spans="1:28" x14ac:dyDescent="0.25">
      <c r="A13" s="200" t="s">
        <v>663</v>
      </c>
      <c r="B13" s="87" t="s">
        <v>13</v>
      </c>
      <c r="C13" s="52">
        <v>72000</v>
      </c>
      <c r="D13" s="720"/>
      <c r="E13" s="720"/>
      <c r="F13" s="720"/>
      <c r="G13" s="720"/>
      <c r="H13" s="989">
        <f t="shared" si="5"/>
        <v>72000</v>
      </c>
      <c r="I13" s="989">
        <f t="shared" si="6"/>
        <v>54000</v>
      </c>
      <c r="J13" s="989">
        <f t="shared" si="7"/>
        <v>6000</v>
      </c>
      <c r="K13" s="40">
        <f t="shared" si="8"/>
        <v>60000</v>
      </c>
      <c r="L13" s="265">
        <v>6000</v>
      </c>
      <c r="M13" s="997">
        <v>6000</v>
      </c>
      <c r="N13" s="265">
        <v>6000</v>
      </c>
      <c r="O13" s="265">
        <v>6000</v>
      </c>
      <c r="P13" s="265">
        <v>6000</v>
      </c>
      <c r="Q13" s="265">
        <v>6000</v>
      </c>
      <c r="R13" s="265">
        <v>6000</v>
      </c>
      <c r="S13" s="265">
        <v>6000</v>
      </c>
      <c r="T13" s="265">
        <v>6000</v>
      </c>
      <c r="U13" s="997">
        <v>6000</v>
      </c>
      <c r="V13" s="265"/>
      <c r="W13" s="265"/>
      <c r="X13" s="997">
        <f t="shared" si="9"/>
        <v>54000</v>
      </c>
      <c r="Y13" s="997">
        <f t="shared" si="10"/>
        <v>6000</v>
      </c>
      <c r="Z13" s="989">
        <f t="shared" si="11"/>
        <v>60000</v>
      </c>
      <c r="AA13" s="989">
        <f t="shared" si="12"/>
        <v>0</v>
      </c>
      <c r="AB13" s="996">
        <f t="shared" si="13"/>
        <v>12000</v>
      </c>
    </row>
    <row r="14" spans="1:28" x14ac:dyDescent="0.25">
      <c r="A14" s="200" t="s">
        <v>664</v>
      </c>
      <c r="B14" s="186" t="s">
        <v>15</v>
      </c>
      <c r="C14" s="52">
        <v>72000</v>
      </c>
      <c r="D14" s="720"/>
      <c r="E14" s="720"/>
      <c r="F14" s="720"/>
      <c r="G14" s="720"/>
      <c r="H14" s="989">
        <f t="shared" si="5"/>
        <v>72000</v>
      </c>
      <c r="I14" s="989">
        <f t="shared" si="6"/>
        <v>54000</v>
      </c>
      <c r="J14" s="989">
        <f t="shared" si="7"/>
        <v>6000</v>
      </c>
      <c r="K14" s="40">
        <f t="shared" si="8"/>
        <v>60000</v>
      </c>
      <c r="L14" s="265">
        <v>6000</v>
      </c>
      <c r="M14" s="997">
        <v>6000</v>
      </c>
      <c r="N14" s="265">
        <v>6000</v>
      </c>
      <c r="O14" s="265">
        <v>6000</v>
      </c>
      <c r="P14" s="265">
        <v>6000</v>
      </c>
      <c r="Q14" s="265">
        <v>6000</v>
      </c>
      <c r="R14" s="265">
        <v>6000</v>
      </c>
      <c r="S14" s="265">
        <v>6000</v>
      </c>
      <c r="T14" s="265">
        <v>6000</v>
      </c>
      <c r="U14" s="997">
        <v>6000</v>
      </c>
      <c r="V14" s="265"/>
      <c r="W14" s="265"/>
      <c r="X14" s="997">
        <f t="shared" si="9"/>
        <v>54000</v>
      </c>
      <c r="Y14" s="997">
        <f t="shared" si="10"/>
        <v>6000</v>
      </c>
      <c r="Z14" s="989">
        <f t="shared" si="11"/>
        <v>60000</v>
      </c>
      <c r="AA14" s="989">
        <f t="shared" si="12"/>
        <v>0</v>
      </c>
      <c r="AB14" s="996">
        <f t="shared" si="13"/>
        <v>12000</v>
      </c>
    </row>
    <row r="15" spans="1:28" x14ac:dyDescent="0.25">
      <c r="A15" s="200" t="s">
        <v>665</v>
      </c>
      <c r="B15" s="169" t="s">
        <v>17</v>
      </c>
      <c r="C15" s="52">
        <v>18000</v>
      </c>
      <c r="D15" s="720"/>
      <c r="E15" s="720"/>
      <c r="F15" s="720"/>
      <c r="G15" s="720"/>
      <c r="H15" s="989">
        <f t="shared" si="5"/>
        <v>18000</v>
      </c>
      <c r="I15" s="989">
        <f>H15/12*11</f>
        <v>16500</v>
      </c>
      <c r="J15" s="989">
        <f t="shared" si="7"/>
        <v>1500</v>
      </c>
      <c r="K15" s="40">
        <f t="shared" si="8"/>
        <v>18000</v>
      </c>
      <c r="L15" s="265">
        <v>8000</v>
      </c>
      <c r="M15" s="265"/>
      <c r="N15" s="265"/>
      <c r="O15" s="265"/>
      <c r="P15" s="265"/>
      <c r="Q15" s="265"/>
      <c r="R15" s="265"/>
      <c r="S15" s="265"/>
      <c r="T15" s="265"/>
      <c r="U15" s="1285">
        <v>1650</v>
      </c>
      <c r="V15" s="265"/>
      <c r="W15" s="265"/>
      <c r="X15" s="997">
        <f t="shared" si="9"/>
        <v>8000</v>
      </c>
      <c r="Y15" s="997">
        <f t="shared" si="10"/>
        <v>1650</v>
      </c>
      <c r="Z15" s="989">
        <f t="shared" si="11"/>
        <v>9650</v>
      </c>
      <c r="AA15" s="989">
        <f t="shared" si="12"/>
        <v>8350</v>
      </c>
      <c r="AB15" s="996">
        <f t="shared" si="13"/>
        <v>8350</v>
      </c>
    </row>
    <row r="16" spans="1:28" x14ac:dyDescent="0.25">
      <c r="A16" s="200" t="s">
        <v>666</v>
      </c>
      <c r="B16" s="169" t="s">
        <v>21</v>
      </c>
      <c r="C16" s="52"/>
      <c r="D16" s="720"/>
      <c r="E16" s="720"/>
      <c r="F16" s="720"/>
      <c r="G16" s="720"/>
      <c r="H16" s="989">
        <f t="shared" si="5"/>
        <v>0</v>
      </c>
      <c r="I16" s="989">
        <f t="shared" si="6"/>
        <v>0</v>
      </c>
      <c r="J16" s="989">
        <f t="shared" si="7"/>
        <v>0</v>
      </c>
      <c r="K16" s="40">
        <f t="shared" si="8"/>
        <v>0</v>
      </c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997">
        <f t="shared" si="9"/>
        <v>0</v>
      </c>
      <c r="Y16" s="997">
        <f t="shared" si="10"/>
        <v>0</v>
      </c>
      <c r="Z16" s="989">
        <f t="shared" si="11"/>
        <v>0</v>
      </c>
      <c r="AA16" s="989">
        <f t="shared" si="12"/>
        <v>0</v>
      </c>
      <c r="AB16" s="996">
        <f t="shared" si="13"/>
        <v>0</v>
      </c>
    </row>
    <row r="17" spans="1:28" x14ac:dyDescent="0.25">
      <c r="A17" s="200" t="s">
        <v>715</v>
      </c>
      <c r="B17" s="169" t="s">
        <v>243</v>
      </c>
      <c r="C17" s="52">
        <v>50000</v>
      </c>
      <c r="D17" s="720">
        <v>20000</v>
      </c>
      <c r="E17" s="720"/>
      <c r="F17" s="720"/>
      <c r="G17" s="720"/>
      <c r="H17" s="989">
        <f t="shared" si="5"/>
        <v>70000</v>
      </c>
      <c r="I17" s="989">
        <f t="shared" si="6"/>
        <v>52500</v>
      </c>
      <c r="J17" s="989">
        <f t="shared" si="7"/>
        <v>5833.333333333333</v>
      </c>
      <c r="K17" s="40">
        <f t="shared" si="8"/>
        <v>58333.333333333336</v>
      </c>
      <c r="L17" s="265"/>
      <c r="M17" s="265"/>
      <c r="N17" s="265"/>
      <c r="O17" s="265"/>
      <c r="P17" s="265"/>
      <c r="Q17" s="265"/>
      <c r="R17" s="265"/>
      <c r="S17" s="265">
        <v>30378.32</v>
      </c>
      <c r="T17" s="265"/>
      <c r="U17" s="1284">
        <v>18167.43</v>
      </c>
      <c r="V17" s="265"/>
      <c r="W17" s="265"/>
      <c r="X17" s="997">
        <f t="shared" si="9"/>
        <v>30378.32</v>
      </c>
      <c r="Y17" s="997">
        <f t="shared" si="10"/>
        <v>18167.43</v>
      </c>
      <c r="Z17" s="989">
        <f t="shared" si="11"/>
        <v>48545.75</v>
      </c>
      <c r="AA17" s="989">
        <f t="shared" si="12"/>
        <v>9787.5833333333358</v>
      </c>
      <c r="AB17" s="996">
        <f t="shared" si="13"/>
        <v>21454.25</v>
      </c>
    </row>
    <row r="18" spans="1:28" x14ac:dyDescent="0.25">
      <c r="A18" s="200" t="s">
        <v>667</v>
      </c>
      <c r="B18" s="87" t="s">
        <v>23</v>
      </c>
      <c r="C18" s="52">
        <v>120474</v>
      </c>
      <c r="D18" s="720"/>
      <c r="E18" s="720"/>
      <c r="F18" s="720"/>
      <c r="G18" s="720"/>
      <c r="H18" s="989">
        <f t="shared" si="5"/>
        <v>120474</v>
      </c>
      <c r="I18" s="989">
        <f t="shared" si="6"/>
        <v>90355.5</v>
      </c>
      <c r="J18" s="989">
        <f t="shared" si="7"/>
        <v>10039.5</v>
      </c>
      <c r="K18" s="40">
        <f t="shared" si="8"/>
        <v>100395</v>
      </c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997">
        <f t="shared" si="9"/>
        <v>0</v>
      </c>
      <c r="Y18" s="997">
        <f t="shared" si="10"/>
        <v>0</v>
      </c>
      <c r="Z18" s="989">
        <f t="shared" si="11"/>
        <v>0</v>
      </c>
      <c r="AA18" s="989">
        <f t="shared" si="12"/>
        <v>100395</v>
      </c>
      <c r="AB18" s="996">
        <f t="shared" si="13"/>
        <v>120474</v>
      </c>
    </row>
    <row r="19" spans="1:28" x14ac:dyDescent="0.25">
      <c r="A19" s="200" t="s">
        <v>668</v>
      </c>
      <c r="B19" s="87" t="s">
        <v>26</v>
      </c>
      <c r="C19" s="52">
        <v>15000</v>
      </c>
      <c r="D19" s="720"/>
      <c r="E19" s="720"/>
      <c r="F19" s="720"/>
      <c r="G19" s="720"/>
      <c r="H19" s="989">
        <f t="shared" si="5"/>
        <v>15000</v>
      </c>
      <c r="I19" s="989">
        <f t="shared" si="6"/>
        <v>11250</v>
      </c>
      <c r="J19" s="989">
        <f t="shared" si="7"/>
        <v>1250</v>
      </c>
      <c r="K19" s="40">
        <f t="shared" si="8"/>
        <v>12500</v>
      </c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997">
        <f t="shared" si="9"/>
        <v>0</v>
      </c>
      <c r="Y19" s="997">
        <f t="shared" si="10"/>
        <v>0</v>
      </c>
      <c r="Z19" s="989">
        <f t="shared" si="11"/>
        <v>0</v>
      </c>
      <c r="AA19" s="989">
        <f t="shared" si="12"/>
        <v>12500</v>
      </c>
      <c r="AB19" s="996">
        <f t="shared" si="13"/>
        <v>15000</v>
      </c>
    </row>
    <row r="20" spans="1:28" x14ac:dyDescent="0.25">
      <c r="A20" s="200" t="s">
        <v>669</v>
      </c>
      <c r="B20" s="87" t="s">
        <v>27</v>
      </c>
      <c r="C20" s="52"/>
      <c r="D20" s="720"/>
      <c r="E20" s="720"/>
      <c r="F20" s="720"/>
      <c r="G20" s="720"/>
      <c r="H20" s="989">
        <f t="shared" si="5"/>
        <v>0</v>
      </c>
      <c r="I20" s="989">
        <f t="shared" si="6"/>
        <v>0</v>
      </c>
      <c r="J20" s="989">
        <f t="shared" si="7"/>
        <v>0</v>
      </c>
      <c r="K20" s="40">
        <f t="shared" si="8"/>
        <v>0</v>
      </c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997">
        <f t="shared" si="9"/>
        <v>0</v>
      </c>
      <c r="Y20" s="997">
        <f t="shared" si="10"/>
        <v>0</v>
      </c>
      <c r="Z20" s="989">
        <f t="shared" si="11"/>
        <v>0</v>
      </c>
      <c r="AA20" s="989">
        <f t="shared" si="12"/>
        <v>0</v>
      </c>
      <c r="AB20" s="996">
        <f t="shared" si="13"/>
        <v>0</v>
      </c>
    </row>
    <row r="21" spans="1:28" x14ac:dyDescent="0.25">
      <c r="A21" s="281" t="s">
        <v>670</v>
      </c>
      <c r="B21" s="54"/>
      <c r="C21" s="52">
        <v>120072</v>
      </c>
      <c r="D21" s="720"/>
      <c r="E21" s="720"/>
      <c r="F21" s="720"/>
      <c r="G21" s="720"/>
      <c r="H21" s="989">
        <f t="shared" si="5"/>
        <v>120072</v>
      </c>
      <c r="I21" s="989">
        <f t="shared" si="6"/>
        <v>90054</v>
      </c>
      <c r="J21" s="989">
        <f t="shared" si="7"/>
        <v>10006</v>
      </c>
      <c r="K21" s="40">
        <f t="shared" si="8"/>
        <v>100060</v>
      </c>
      <c r="L21" s="265"/>
      <c r="M21" s="265"/>
      <c r="N21" s="265"/>
      <c r="O21" s="265"/>
      <c r="P21" s="1158">
        <v>105471</v>
      </c>
      <c r="Q21" s="265"/>
      <c r="R21" s="265"/>
      <c r="S21" s="265"/>
      <c r="T21" s="265"/>
      <c r="U21" s="265"/>
      <c r="V21" s="265"/>
      <c r="W21" s="265"/>
      <c r="X21" s="997">
        <f t="shared" si="9"/>
        <v>105471</v>
      </c>
      <c r="Y21" s="997">
        <f t="shared" si="10"/>
        <v>0</v>
      </c>
      <c r="Z21" s="989">
        <f t="shared" si="11"/>
        <v>105471</v>
      </c>
      <c r="AA21" s="989">
        <f t="shared" si="12"/>
        <v>-5411</v>
      </c>
      <c r="AB21" s="996">
        <f t="shared" si="13"/>
        <v>14601</v>
      </c>
    </row>
    <row r="22" spans="1:28" x14ac:dyDescent="0.25">
      <c r="A22" s="281" t="s">
        <v>671</v>
      </c>
      <c r="B22" s="50"/>
      <c r="C22" s="52">
        <v>15000</v>
      </c>
      <c r="D22" s="720"/>
      <c r="E22" s="720"/>
      <c r="F22" s="720"/>
      <c r="G22" s="720"/>
      <c r="H22" s="989">
        <f t="shared" si="5"/>
        <v>15000</v>
      </c>
      <c r="I22" s="989">
        <f t="shared" si="6"/>
        <v>11250</v>
      </c>
      <c r="J22" s="989">
        <f t="shared" si="7"/>
        <v>1250</v>
      </c>
      <c r="K22" s="40">
        <f t="shared" si="8"/>
        <v>12500</v>
      </c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997">
        <f t="shared" si="9"/>
        <v>0</v>
      </c>
      <c r="Y22" s="997">
        <f t="shared" si="10"/>
        <v>0</v>
      </c>
      <c r="Z22" s="989">
        <f t="shared" si="11"/>
        <v>0</v>
      </c>
      <c r="AA22" s="989">
        <f t="shared" si="12"/>
        <v>12500</v>
      </c>
      <c r="AB22" s="996">
        <f t="shared" si="13"/>
        <v>15000</v>
      </c>
    </row>
    <row r="23" spans="1:28" x14ac:dyDescent="0.25">
      <c r="A23" s="291" t="s">
        <v>702</v>
      </c>
      <c r="B23" s="87"/>
      <c r="C23" s="52"/>
      <c r="D23" s="720"/>
      <c r="E23" s="720"/>
      <c r="F23" s="720"/>
      <c r="G23" s="720"/>
      <c r="H23" s="989">
        <f t="shared" si="5"/>
        <v>0</v>
      </c>
      <c r="I23" s="989">
        <f t="shared" si="6"/>
        <v>0</v>
      </c>
      <c r="J23" s="989">
        <f t="shared" si="7"/>
        <v>0</v>
      </c>
      <c r="K23" s="40">
        <f t="shared" ref="K23:K30" si="14">I23+J23</f>
        <v>0</v>
      </c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997">
        <f t="shared" si="9"/>
        <v>0</v>
      </c>
      <c r="Y23" s="997">
        <f t="shared" si="10"/>
        <v>0</v>
      </c>
      <c r="Z23" s="989">
        <f t="shared" si="11"/>
        <v>0</v>
      </c>
      <c r="AA23" s="989">
        <f t="shared" si="12"/>
        <v>0</v>
      </c>
      <c r="AB23" s="996">
        <f t="shared" si="13"/>
        <v>0</v>
      </c>
    </row>
    <row r="24" spans="1:28" x14ac:dyDescent="0.25">
      <c r="A24" s="291" t="s">
        <v>673</v>
      </c>
      <c r="B24" s="87"/>
      <c r="C24" s="52"/>
      <c r="D24" s="720"/>
      <c r="E24" s="720"/>
      <c r="F24" s="720"/>
      <c r="G24" s="720"/>
      <c r="H24" s="989">
        <f t="shared" si="5"/>
        <v>0</v>
      </c>
      <c r="I24" s="989">
        <f t="shared" si="6"/>
        <v>0</v>
      </c>
      <c r="J24" s="989">
        <f t="shared" si="7"/>
        <v>0</v>
      </c>
      <c r="K24" s="40">
        <f t="shared" si="14"/>
        <v>0</v>
      </c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997">
        <f t="shared" si="9"/>
        <v>0</v>
      </c>
      <c r="Y24" s="997">
        <f t="shared" si="10"/>
        <v>0</v>
      </c>
      <c r="Z24" s="989">
        <f t="shared" si="11"/>
        <v>0</v>
      </c>
      <c r="AA24" s="989">
        <f t="shared" si="12"/>
        <v>0</v>
      </c>
      <c r="AB24" s="996">
        <f t="shared" si="13"/>
        <v>0</v>
      </c>
    </row>
    <row r="25" spans="1:28" x14ac:dyDescent="0.25">
      <c r="A25" s="291" t="s">
        <v>674</v>
      </c>
      <c r="B25" s="87"/>
      <c r="C25" s="52"/>
      <c r="D25" s="720"/>
      <c r="E25" s="720"/>
      <c r="F25" s="720"/>
      <c r="G25" s="720"/>
      <c r="H25" s="989">
        <f t="shared" si="5"/>
        <v>0</v>
      </c>
      <c r="I25" s="989">
        <f t="shared" si="6"/>
        <v>0</v>
      </c>
      <c r="J25" s="989">
        <f t="shared" si="7"/>
        <v>0</v>
      </c>
      <c r="K25" s="40">
        <f t="shared" si="14"/>
        <v>0</v>
      </c>
      <c r="L25" s="40"/>
      <c r="M25" s="109"/>
      <c r="N25" s="109"/>
      <c r="O25" s="109"/>
      <c r="P25" s="1159"/>
      <c r="Q25" s="109"/>
      <c r="R25" s="109"/>
      <c r="S25" s="109"/>
      <c r="T25" s="109"/>
      <c r="U25" s="109"/>
      <c r="V25" s="109"/>
      <c r="W25" s="109"/>
      <c r="X25" s="997">
        <f t="shared" si="9"/>
        <v>0</v>
      </c>
      <c r="Y25" s="997">
        <f t="shared" si="10"/>
        <v>0</v>
      </c>
      <c r="Z25" s="989">
        <f t="shared" si="11"/>
        <v>0</v>
      </c>
      <c r="AA25" s="989">
        <f t="shared" si="12"/>
        <v>0</v>
      </c>
      <c r="AB25" s="996">
        <f t="shared" si="13"/>
        <v>0</v>
      </c>
    </row>
    <row r="26" spans="1:28" x14ac:dyDescent="0.25">
      <c r="A26" s="455" t="s">
        <v>370</v>
      </c>
      <c r="B26" s="87"/>
      <c r="C26" s="78"/>
      <c r="D26" s="726"/>
      <c r="E26" s="726"/>
      <c r="F26" s="726"/>
      <c r="G26" s="726"/>
      <c r="H26" s="989">
        <f t="shared" si="5"/>
        <v>0</v>
      </c>
      <c r="I26" s="989">
        <f t="shared" si="6"/>
        <v>0</v>
      </c>
      <c r="J26" s="989">
        <f t="shared" si="7"/>
        <v>0</v>
      </c>
      <c r="K26" s="40">
        <f t="shared" si="14"/>
        <v>0</v>
      </c>
      <c r="L26" s="188"/>
      <c r="M26" s="188"/>
      <c r="N26" s="188"/>
      <c r="O26" s="188"/>
      <c r="P26" s="1159"/>
      <c r="Q26" s="188"/>
      <c r="R26" s="188"/>
      <c r="S26" s="188"/>
      <c r="T26" s="188"/>
      <c r="U26" s="188"/>
      <c r="V26" s="188"/>
      <c r="W26" s="188"/>
      <c r="X26" s="997">
        <f t="shared" si="9"/>
        <v>0</v>
      </c>
      <c r="Y26" s="997">
        <f t="shared" si="10"/>
        <v>0</v>
      </c>
      <c r="Z26" s="989">
        <f t="shared" si="11"/>
        <v>0</v>
      </c>
      <c r="AA26" s="989">
        <f t="shared" si="12"/>
        <v>0</v>
      </c>
      <c r="AB26" s="996">
        <f t="shared" si="13"/>
        <v>0</v>
      </c>
    </row>
    <row r="27" spans="1:28" x14ac:dyDescent="0.25">
      <c r="A27" s="200" t="s">
        <v>675</v>
      </c>
      <c r="B27" s="87" t="s">
        <v>29</v>
      </c>
      <c r="C27" s="52">
        <v>172921.44</v>
      </c>
      <c r="D27" s="720">
        <f>-1752.12</f>
        <v>-1752.12</v>
      </c>
      <c r="E27" s="720">
        <f>-7008.48</f>
        <v>-7008.48</v>
      </c>
      <c r="F27" s="720"/>
      <c r="G27" s="720">
        <f>-3504.24</f>
        <v>-3504.24</v>
      </c>
      <c r="H27" s="989">
        <f t="shared" si="5"/>
        <v>160656.6</v>
      </c>
      <c r="I27" s="989">
        <f t="shared" si="6"/>
        <v>120492.45000000001</v>
      </c>
      <c r="J27" s="989">
        <f t="shared" si="7"/>
        <v>13388.050000000001</v>
      </c>
      <c r="K27" s="40">
        <f t="shared" si="14"/>
        <v>133880.5</v>
      </c>
      <c r="L27" s="794">
        <v>12214.32</v>
      </c>
      <c r="M27" s="794">
        <v>12214.32</v>
      </c>
      <c r="N27" s="1082">
        <v>12347.64</v>
      </c>
      <c r="O27" s="188">
        <v>13578.12</v>
      </c>
      <c r="P27" s="1160">
        <v>12656.52</v>
      </c>
      <c r="Q27" s="1170">
        <v>12656.52</v>
      </c>
      <c r="R27" s="1170">
        <v>12703.22</v>
      </c>
      <c r="S27" s="1252">
        <v>12704.76</v>
      </c>
      <c r="T27" s="1257">
        <v>12704.76</v>
      </c>
      <c r="U27" s="1285">
        <v>12704.76</v>
      </c>
      <c r="V27" s="188"/>
      <c r="W27" s="188"/>
      <c r="X27" s="997">
        <f t="shared" si="9"/>
        <v>113780.18</v>
      </c>
      <c r="Y27" s="997">
        <f t="shared" si="10"/>
        <v>12704.76</v>
      </c>
      <c r="Z27" s="989">
        <f t="shared" si="11"/>
        <v>126484.93999999999</v>
      </c>
      <c r="AA27" s="989">
        <f t="shared" si="12"/>
        <v>7395.5600000000122</v>
      </c>
      <c r="AB27" s="996">
        <f t="shared" si="13"/>
        <v>34171.660000000018</v>
      </c>
    </row>
    <row r="28" spans="1:28" x14ac:dyDescent="0.25">
      <c r="A28" s="200" t="s">
        <v>676</v>
      </c>
      <c r="B28" s="87" t="s">
        <v>31</v>
      </c>
      <c r="C28" s="52">
        <v>28820.240000000002</v>
      </c>
      <c r="D28" s="720">
        <f>-292.02</f>
        <v>-292.02</v>
      </c>
      <c r="E28" s="720"/>
      <c r="F28" s="720"/>
      <c r="G28" s="720">
        <f>-584.04</f>
        <v>-584.04</v>
      </c>
      <c r="H28" s="989">
        <f t="shared" si="5"/>
        <v>27944.18</v>
      </c>
      <c r="I28" s="989">
        <f t="shared" si="6"/>
        <v>20958.135000000002</v>
      </c>
      <c r="J28" s="989">
        <f t="shared" si="7"/>
        <v>2328.6816666666668</v>
      </c>
      <c r="K28" s="40">
        <f t="shared" si="14"/>
        <v>23286.816666666669</v>
      </c>
      <c r="L28" s="794">
        <v>2035.72</v>
      </c>
      <c r="M28" s="794">
        <v>2035.72</v>
      </c>
      <c r="N28" s="1082">
        <v>2057.94</v>
      </c>
      <c r="O28" s="188">
        <v>2263.02</v>
      </c>
      <c r="P28" s="1160">
        <v>2109.42</v>
      </c>
      <c r="Q28" s="1170">
        <v>2109.42</v>
      </c>
      <c r="R28" s="1170">
        <v>2117.1999999999998</v>
      </c>
      <c r="S28" s="1252">
        <v>2117.46</v>
      </c>
      <c r="T28" s="1294">
        <v>2117.46</v>
      </c>
      <c r="U28" s="1294">
        <v>2117.46</v>
      </c>
      <c r="V28" s="188"/>
      <c r="W28" s="188"/>
      <c r="X28" s="997">
        <f t="shared" si="9"/>
        <v>18963.359999999997</v>
      </c>
      <c r="Y28" s="997">
        <f t="shared" si="10"/>
        <v>2117.46</v>
      </c>
      <c r="Z28" s="989">
        <f t="shared" si="11"/>
        <v>21080.819999999996</v>
      </c>
      <c r="AA28" s="989">
        <f t="shared" si="12"/>
        <v>2205.9966666666733</v>
      </c>
      <c r="AB28" s="996">
        <f t="shared" si="13"/>
        <v>6863.3600000000042</v>
      </c>
    </row>
    <row r="29" spans="1:28" x14ac:dyDescent="0.25">
      <c r="A29" s="200" t="s">
        <v>677</v>
      </c>
      <c r="B29" s="87" t="s">
        <v>33</v>
      </c>
      <c r="C29" s="52">
        <v>25125.66</v>
      </c>
      <c r="D29" s="720">
        <f>-255.52</f>
        <v>-255.52</v>
      </c>
      <c r="E29" s="720"/>
      <c r="F29" s="720"/>
      <c r="G29" s="720">
        <f>-511.04</f>
        <v>-511.04</v>
      </c>
      <c r="H29" s="989">
        <f t="shared" si="5"/>
        <v>24359.1</v>
      </c>
      <c r="I29" s="989">
        <f t="shared" si="6"/>
        <v>18269.325000000001</v>
      </c>
      <c r="J29" s="989">
        <f t="shared" si="7"/>
        <v>2029.925</v>
      </c>
      <c r="K29" s="40">
        <f t="shared" si="14"/>
        <v>20299.25</v>
      </c>
      <c r="L29" s="794">
        <v>1405.91</v>
      </c>
      <c r="M29" s="794">
        <v>1405.91</v>
      </c>
      <c r="N29" s="1082">
        <v>1405.91</v>
      </c>
      <c r="O29" s="188">
        <v>1624.18</v>
      </c>
      <c r="P29" s="1160">
        <v>1424.18</v>
      </c>
      <c r="Q29" s="1170">
        <v>1424.18</v>
      </c>
      <c r="R29" s="1170">
        <v>1430.21</v>
      </c>
      <c r="S29" s="1294">
        <v>1430.21</v>
      </c>
      <c r="T29" s="1294">
        <v>1430.21</v>
      </c>
      <c r="U29" s="1294">
        <v>1430.21</v>
      </c>
      <c r="V29" s="188"/>
      <c r="W29" s="188"/>
      <c r="X29" s="997">
        <f t="shared" si="9"/>
        <v>12980.899999999998</v>
      </c>
      <c r="Y29" s="997">
        <f t="shared" si="10"/>
        <v>1430.21</v>
      </c>
      <c r="Z29" s="989">
        <f t="shared" si="11"/>
        <v>14411.109999999997</v>
      </c>
      <c r="AA29" s="989">
        <f t="shared" si="12"/>
        <v>5888.1400000000031</v>
      </c>
      <c r="AB29" s="996">
        <f t="shared" si="13"/>
        <v>9947.9900000000016</v>
      </c>
    </row>
    <row r="30" spans="1:28" x14ac:dyDescent="0.25">
      <c r="A30" s="456" t="s">
        <v>678</v>
      </c>
      <c r="B30" s="87" t="s">
        <v>35</v>
      </c>
      <c r="C30" s="52">
        <v>3600</v>
      </c>
      <c r="D30" s="720"/>
      <c r="E30" s="720"/>
      <c r="F30" s="720"/>
      <c r="G30" s="720"/>
      <c r="H30" s="989">
        <f t="shared" si="5"/>
        <v>3600</v>
      </c>
      <c r="I30" s="989">
        <f t="shared" si="6"/>
        <v>2700</v>
      </c>
      <c r="J30" s="989">
        <f t="shared" si="7"/>
        <v>300</v>
      </c>
      <c r="K30" s="40">
        <f t="shared" si="14"/>
        <v>3000</v>
      </c>
      <c r="L30" s="794">
        <v>200</v>
      </c>
      <c r="M30" s="794">
        <v>200</v>
      </c>
      <c r="N30" s="1082">
        <v>200</v>
      </c>
      <c r="O30" s="188"/>
      <c r="P30" s="1160">
        <v>200</v>
      </c>
      <c r="Q30" s="1170">
        <v>200</v>
      </c>
      <c r="R30" s="1170">
        <v>200</v>
      </c>
      <c r="S30" s="1252">
        <v>200</v>
      </c>
      <c r="T30" s="1257">
        <v>200</v>
      </c>
      <c r="U30" s="1285">
        <v>200</v>
      </c>
      <c r="V30" s="188"/>
      <c r="W30" s="188"/>
      <c r="X30" s="997">
        <f t="shared" si="9"/>
        <v>1600</v>
      </c>
      <c r="Y30" s="997">
        <f t="shared" si="10"/>
        <v>200</v>
      </c>
      <c r="Z30" s="989">
        <f t="shared" si="11"/>
        <v>1800</v>
      </c>
      <c r="AA30" s="989">
        <f t="shared" si="12"/>
        <v>1200</v>
      </c>
      <c r="AB30" s="996">
        <f t="shared" si="13"/>
        <v>1800</v>
      </c>
    </row>
    <row r="31" spans="1:28" x14ac:dyDescent="0.25">
      <c r="A31" s="191"/>
      <c r="B31" s="186"/>
      <c r="C31" s="40"/>
      <c r="D31" s="989"/>
      <c r="E31" s="989"/>
      <c r="F31" s="989"/>
      <c r="G31" s="989"/>
      <c r="H31" s="989">
        <f t="shared" si="5"/>
        <v>0</v>
      </c>
      <c r="I31" s="989">
        <f t="shared" si="6"/>
        <v>0</v>
      </c>
      <c r="J31" s="40"/>
      <c r="K31" s="40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997">
        <f t="shared" si="9"/>
        <v>0</v>
      </c>
      <c r="Y31" s="997">
        <f t="shared" si="10"/>
        <v>0</v>
      </c>
      <c r="Z31" s="989">
        <f t="shared" si="11"/>
        <v>0</v>
      </c>
      <c r="AA31" s="989">
        <f t="shared" si="12"/>
        <v>0</v>
      </c>
      <c r="AB31" s="996">
        <f t="shared" si="13"/>
        <v>0</v>
      </c>
    </row>
    <row r="32" spans="1:28" x14ac:dyDescent="0.25">
      <c r="A32" s="190" t="s">
        <v>40</v>
      </c>
      <c r="B32" s="192"/>
      <c r="C32" s="78">
        <f>SUM(C8:C31)</f>
        <v>2226025.3400000003</v>
      </c>
      <c r="D32" s="726">
        <f>SUM(D8:D31)</f>
        <v>-900.65999999999985</v>
      </c>
      <c r="E32" s="726">
        <f>SUM(E8:E31)</f>
        <v>-73412.479999999996</v>
      </c>
      <c r="F32" s="726">
        <f>SUM(F8:F31)</f>
        <v>0</v>
      </c>
      <c r="G32" s="726">
        <f>SUM(G8:G31)</f>
        <v>-37801.32</v>
      </c>
      <c r="H32" s="726">
        <f t="shared" ref="H32:AB32" si="15">SUM(H8:H31)</f>
        <v>2113910.88</v>
      </c>
      <c r="I32" s="726">
        <f t="shared" si="15"/>
        <v>1588433.16</v>
      </c>
      <c r="J32" s="726">
        <f t="shared" si="15"/>
        <v>176159.24</v>
      </c>
      <c r="K32" s="726">
        <f t="shared" si="15"/>
        <v>1764592.4</v>
      </c>
      <c r="L32" s="726">
        <f t="shared" si="15"/>
        <v>141641.95000000001</v>
      </c>
      <c r="M32" s="726">
        <f t="shared" si="15"/>
        <v>133641.95000000001</v>
      </c>
      <c r="N32" s="726">
        <f t="shared" si="15"/>
        <v>134908.49000000002</v>
      </c>
      <c r="O32" s="726">
        <f t="shared" si="15"/>
        <v>146616.31999999998</v>
      </c>
      <c r="P32" s="726">
        <f t="shared" si="15"/>
        <v>243332.12</v>
      </c>
      <c r="Q32" s="726">
        <f t="shared" si="15"/>
        <v>137861.12</v>
      </c>
      <c r="R32" s="726">
        <f t="shared" si="15"/>
        <v>138310.79</v>
      </c>
      <c r="S32" s="726">
        <f t="shared" si="15"/>
        <v>168703.75</v>
      </c>
      <c r="T32" s="726">
        <f t="shared" si="15"/>
        <v>138325.43</v>
      </c>
      <c r="U32" s="726">
        <f t="shared" si="15"/>
        <v>158142.85999999999</v>
      </c>
      <c r="V32" s="726">
        <f t="shared" si="15"/>
        <v>0</v>
      </c>
      <c r="W32" s="726">
        <f t="shared" si="15"/>
        <v>0</v>
      </c>
      <c r="X32" s="726">
        <f t="shared" si="15"/>
        <v>1383341.9200000002</v>
      </c>
      <c r="Y32" s="726">
        <f t="shared" si="15"/>
        <v>158142.85999999999</v>
      </c>
      <c r="Z32" s="726">
        <f t="shared" si="15"/>
        <v>1541484.7800000003</v>
      </c>
      <c r="AA32" s="726">
        <f t="shared" si="15"/>
        <v>223107.61999999979</v>
      </c>
      <c r="AB32" s="726">
        <f t="shared" si="15"/>
        <v>572426.09999999986</v>
      </c>
    </row>
    <row r="33" spans="1:28" x14ac:dyDescent="0.25">
      <c r="A33" s="190" t="s">
        <v>239</v>
      </c>
      <c r="B33" s="193"/>
      <c r="C33" s="109"/>
      <c r="D33" s="990"/>
      <c r="E33" s="990"/>
      <c r="F33" s="990"/>
      <c r="G33" s="990"/>
      <c r="H33" s="109"/>
      <c r="I33" s="109"/>
      <c r="J33" s="109"/>
      <c r="K33" s="40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40"/>
      <c r="AB33" s="188"/>
    </row>
    <row r="34" spans="1:28" x14ac:dyDescent="0.25">
      <c r="A34" s="365" t="s">
        <v>139</v>
      </c>
      <c r="B34" s="87" t="s">
        <v>43</v>
      </c>
      <c r="C34" s="40">
        <v>35000</v>
      </c>
      <c r="D34" s="989"/>
      <c r="E34" s="989"/>
      <c r="F34" s="989"/>
      <c r="G34" s="989"/>
      <c r="H34" s="989">
        <f t="shared" ref="H34:H48" si="16">SUM(C34:G34)</f>
        <v>35000</v>
      </c>
      <c r="I34" s="989">
        <f t="shared" ref="I34:I48" si="17">H34/12*9</f>
        <v>26250</v>
      </c>
      <c r="J34" s="989">
        <f t="shared" ref="J34:J48" si="18">H34/12</f>
        <v>2916.6666666666665</v>
      </c>
      <c r="K34" s="40">
        <f t="shared" ref="K34:K48" si="19">I34+J34</f>
        <v>29166.666666666668</v>
      </c>
      <c r="L34" s="266"/>
      <c r="M34" s="265">
        <v>880</v>
      </c>
      <c r="N34" s="265">
        <v>1240</v>
      </c>
      <c r="O34" s="265"/>
      <c r="P34" s="265"/>
      <c r="Q34" s="265">
        <v>2520</v>
      </c>
      <c r="R34" s="1199">
        <v>0</v>
      </c>
      <c r="S34" s="265">
        <v>2856</v>
      </c>
      <c r="T34" s="265">
        <v>1424</v>
      </c>
      <c r="U34" s="265"/>
      <c r="V34" s="265"/>
      <c r="W34" s="265"/>
      <c r="X34" s="997">
        <f t="shared" ref="X34:X48" si="20">L34+M34+N34+O34+P34+Q34+R34+S34+T34</f>
        <v>8920</v>
      </c>
      <c r="Y34" s="997">
        <f t="shared" ref="Y34:Y48" si="21">U34</f>
        <v>0</v>
      </c>
      <c r="Z34" s="989">
        <f>X34+Y34</f>
        <v>8920</v>
      </c>
      <c r="AA34" s="989">
        <f>K34-Z34</f>
        <v>20246.666666666668</v>
      </c>
      <c r="AB34" s="996">
        <f>H34-Z34</f>
        <v>26080</v>
      </c>
    </row>
    <row r="35" spans="1:28" x14ac:dyDescent="0.25">
      <c r="A35" s="365" t="s">
        <v>233</v>
      </c>
      <c r="B35" s="87" t="s">
        <v>140</v>
      </c>
      <c r="C35" s="40">
        <v>30000</v>
      </c>
      <c r="D35" s="989"/>
      <c r="E35" s="989"/>
      <c r="F35" s="989">
        <f>12320</f>
        <v>12320</v>
      </c>
      <c r="G35" s="989"/>
      <c r="H35" s="989">
        <f t="shared" si="16"/>
        <v>42320</v>
      </c>
      <c r="I35" s="989">
        <f t="shared" si="17"/>
        <v>31740</v>
      </c>
      <c r="J35" s="989">
        <f t="shared" si="18"/>
        <v>3526.6666666666665</v>
      </c>
      <c r="K35" s="40">
        <f t="shared" si="19"/>
        <v>35266.666666666664</v>
      </c>
      <c r="L35" s="266"/>
      <c r="M35" s="265"/>
      <c r="N35" s="265">
        <v>1500</v>
      </c>
      <c r="O35" s="265"/>
      <c r="P35" s="265"/>
      <c r="Q35" s="265">
        <v>1500</v>
      </c>
      <c r="R35" s="265"/>
      <c r="S35" s="265">
        <v>12320</v>
      </c>
      <c r="T35" s="265">
        <v>11437</v>
      </c>
      <c r="U35" s="1228">
        <v>500</v>
      </c>
      <c r="V35" s="265"/>
      <c r="W35" s="265"/>
      <c r="X35" s="997">
        <f t="shared" si="20"/>
        <v>26757</v>
      </c>
      <c r="Y35" s="997">
        <f t="shared" si="21"/>
        <v>500</v>
      </c>
      <c r="Z35" s="989">
        <f t="shared" ref="Z35:Z48" si="22">X35+Y35</f>
        <v>27257</v>
      </c>
      <c r="AA35" s="989">
        <f t="shared" ref="AA35:AA48" si="23">K35-Z35</f>
        <v>8009.6666666666642</v>
      </c>
      <c r="AB35" s="996">
        <f t="shared" ref="AB35:AB48" si="24">H35-Z35</f>
        <v>15063</v>
      </c>
    </row>
    <row r="36" spans="1:28" x14ac:dyDescent="0.25">
      <c r="A36" s="365" t="s">
        <v>50</v>
      </c>
      <c r="B36" s="87" t="s">
        <v>51</v>
      </c>
      <c r="C36" s="40">
        <v>60248.6</v>
      </c>
      <c r="D36" s="989"/>
      <c r="E36" s="989"/>
      <c r="F36" s="989"/>
      <c r="G36" s="989"/>
      <c r="H36" s="989">
        <f t="shared" si="16"/>
        <v>60248.6</v>
      </c>
      <c r="I36" s="989">
        <f t="shared" si="17"/>
        <v>45186.45</v>
      </c>
      <c r="J36" s="989">
        <f t="shared" si="18"/>
        <v>5020.7166666666662</v>
      </c>
      <c r="K36" s="40">
        <f t="shared" si="19"/>
        <v>50207.166666666664</v>
      </c>
      <c r="L36" s="266"/>
      <c r="M36" s="265">
        <v>725</v>
      </c>
      <c r="N36" s="265">
        <v>15124</v>
      </c>
      <c r="O36" s="265"/>
      <c r="P36" s="987"/>
      <c r="Q36" s="265">
        <v>13790</v>
      </c>
      <c r="R36" s="265">
        <v>2665</v>
      </c>
      <c r="S36" s="265">
        <v>9350</v>
      </c>
      <c r="T36" s="265">
        <v>924</v>
      </c>
      <c r="U36" s="265"/>
      <c r="V36" s="265"/>
      <c r="W36" s="265"/>
      <c r="X36" s="997">
        <f t="shared" si="20"/>
        <v>42578</v>
      </c>
      <c r="Y36" s="997">
        <f t="shared" si="21"/>
        <v>0</v>
      </c>
      <c r="Z36" s="989">
        <f t="shared" si="22"/>
        <v>42578</v>
      </c>
      <c r="AA36" s="989">
        <f t="shared" si="23"/>
        <v>7629.1666666666642</v>
      </c>
      <c r="AB36" s="996">
        <f t="shared" si="24"/>
        <v>17670.599999999999</v>
      </c>
    </row>
    <row r="37" spans="1:28" x14ac:dyDescent="0.25">
      <c r="A37" s="365" t="s">
        <v>481</v>
      </c>
      <c r="B37" s="87" t="s">
        <v>60</v>
      </c>
      <c r="C37" s="52">
        <v>60000</v>
      </c>
      <c r="D37" s="720"/>
      <c r="E37" s="720"/>
      <c r="F37" s="720"/>
      <c r="G37" s="720"/>
      <c r="H37" s="989">
        <f t="shared" si="16"/>
        <v>60000</v>
      </c>
      <c r="I37" s="989">
        <f t="shared" si="17"/>
        <v>45000</v>
      </c>
      <c r="J37" s="989">
        <f t="shared" si="18"/>
        <v>5000</v>
      </c>
      <c r="K37" s="40">
        <f t="shared" si="19"/>
        <v>50000</v>
      </c>
      <c r="L37" s="52">
        <v>5000</v>
      </c>
      <c r="M37" s="720">
        <v>6913.99</v>
      </c>
      <c r="N37" s="720">
        <v>4879.5</v>
      </c>
      <c r="O37" s="78">
        <v>5075.5</v>
      </c>
      <c r="P37" s="720">
        <v>4832.01</v>
      </c>
      <c r="Q37" s="78">
        <v>3952.31</v>
      </c>
      <c r="R37" s="78">
        <v>6176.32</v>
      </c>
      <c r="S37" s="78">
        <v>4040</v>
      </c>
      <c r="T37" s="78">
        <v>5168</v>
      </c>
      <c r="U37" s="720">
        <v>3697</v>
      </c>
      <c r="V37" s="78"/>
      <c r="W37" s="78"/>
      <c r="X37" s="997">
        <f t="shared" si="20"/>
        <v>46037.630000000005</v>
      </c>
      <c r="Y37" s="997">
        <f t="shared" si="21"/>
        <v>3697</v>
      </c>
      <c r="Z37" s="989">
        <f t="shared" si="22"/>
        <v>49734.630000000005</v>
      </c>
      <c r="AA37" s="989">
        <f t="shared" si="23"/>
        <v>265.36999999999534</v>
      </c>
      <c r="AB37" s="996">
        <f t="shared" si="24"/>
        <v>10265.369999999995</v>
      </c>
    </row>
    <row r="38" spans="1:28" x14ac:dyDescent="0.25">
      <c r="A38" s="518" t="s">
        <v>61</v>
      </c>
      <c r="B38" s="114" t="s">
        <v>62</v>
      </c>
      <c r="C38" s="52">
        <v>36000</v>
      </c>
      <c r="D38" s="720"/>
      <c r="E38" s="720"/>
      <c r="F38" s="720"/>
      <c r="G38" s="720"/>
      <c r="H38" s="989">
        <f t="shared" si="16"/>
        <v>36000</v>
      </c>
      <c r="I38" s="989">
        <f t="shared" si="17"/>
        <v>27000</v>
      </c>
      <c r="J38" s="989">
        <f t="shared" si="18"/>
        <v>3000</v>
      </c>
      <c r="K38" s="40">
        <f t="shared" si="19"/>
        <v>30000</v>
      </c>
      <c r="L38" s="266">
        <v>999</v>
      </c>
      <c r="M38" s="265">
        <v>2798</v>
      </c>
      <c r="N38" s="265">
        <v>2897</v>
      </c>
      <c r="O38" s="265">
        <v>2897</v>
      </c>
      <c r="P38" s="997">
        <v>3937.24</v>
      </c>
      <c r="Q38" s="265">
        <v>999</v>
      </c>
      <c r="R38" s="265">
        <v>4232.5600000000004</v>
      </c>
      <c r="S38" s="265">
        <v>2691</v>
      </c>
      <c r="T38" s="265">
        <v>2698</v>
      </c>
      <c r="U38" s="997">
        <v>1699</v>
      </c>
      <c r="V38" s="265"/>
      <c r="W38" s="265"/>
      <c r="X38" s="997">
        <f t="shared" si="20"/>
        <v>24148.799999999999</v>
      </c>
      <c r="Y38" s="997">
        <f t="shared" si="21"/>
        <v>1699</v>
      </c>
      <c r="Z38" s="989">
        <f t="shared" si="22"/>
        <v>25847.8</v>
      </c>
      <c r="AA38" s="989">
        <f t="shared" si="23"/>
        <v>4152.2000000000007</v>
      </c>
      <c r="AB38" s="996">
        <f t="shared" si="24"/>
        <v>10152.200000000001</v>
      </c>
    </row>
    <row r="39" spans="1:28" x14ac:dyDescent="0.25">
      <c r="A39" s="365" t="s">
        <v>69</v>
      </c>
      <c r="B39" s="108" t="s">
        <v>70</v>
      </c>
      <c r="C39" s="40">
        <f>433200+30000</f>
        <v>463200</v>
      </c>
      <c r="D39" s="989">
        <v>25000</v>
      </c>
      <c r="E39" s="989"/>
      <c r="F39" s="989"/>
      <c r="G39" s="989"/>
      <c r="H39" s="989">
        <f t="shared" si="16"/>
        <v>488200</v>
      </c>
      <c r="I39" s="989">
        <f t="shared" si="17"/>
        <v>366150</v>
      </c>
      <c r="J39" s="989">
        <f t="shared" si="18"/>
        <v>40683.333333333336</v>
      </c>
      <c r="K39" s="40">
        <f t="shared" si="19"/>
        <v>406833.33333333331</v>
      </c>
      <c r="L39" s="266">
        <v>22254.33</v>
      </c>
      <c r="M39" s="265">
        <v>34816.480000000003</v>
      </c>
      <c r="N39" s="265">
        <v>35029.160000000003</v>
      </c>
      <c r="O39" s="265">
        <v>35081.660000000003</v>
      </c>
      <c r="P39" s="997">
        <v>34700</v>
      </c>
      <c r="Q39" s="265">
        <v>39883.65</v>
      </c>
      <c r="R39" s="265">
        <v>25518.58</v>
      </c>
      <c r="S39" s="265">
        <f>17550+17547.5+30646.88</f>
        <v>65744.38</v>
      </c>
      <c r="T39" s="265">
        <v>33387.5</v>
      </c>
      <c r="U39" s="265">
        <f>15233.95+17550+17550</f>
        <v>50333.95</v>
      </c>
      <c r="V39" s="265"/>
      <c r="W39" s="265"/>
      <c r="X39" s="997">
        <f t="shared" si="20"/>
        <v>326415.74</v>
      </c>
      <c r="Y39" s="997">
        <f t="shared" si="21"/>
        <v>50333.95</v>
      </c>
      <c r="Z39" s="989">
        <f t="shared" si="22"/>
        <v>376749.69</v>
      </c>
      <c r="AA39" s="989">
        <f t="shared" si="23"/>
        <v>30083.643333333312</v>
      </c>
      <c r="AB39" s="996">
        <f t="shared" si="24"/>
        <v>111450.31</v>
      </c>
    </row>
    <row r="40" spans="1:28" x14ac:dyDescent="0.25">
      <c r="A40" s="273" t="s">
        <v>720</v>
      </c>
      <c r="B40" s="194" t="s">
        <v>76</v>
      </c>
      <c r="C40" s="40">
        <v>28000</v>
      </c>
      <c r="D40" s="989"/>
      <c r="E40" s="989"/>
      <c r="F40" s="989"/>
      <c r="G40" s="989"/>
      <c r="H40" s="989">
        <f t="shared" si="16"/>
        <v>28000</v>
      </c>
      <c r="I40" s="989">
        <f t="shared" si="17"/>
        <v>21000</v>
      </c>
      <c r="J40" s="989">
        <f t="shared" si="18"/>
        <v>2333.3333333333335</v>
      </c>
      <c r="K40" s="40">
        <f t="shared" si="19"/>
        <v>23333.333333333332</v>
      </c>
      <c r="L40" s="266"/>
      <c r="M40" s="265"/>
      <c r="N40" s="265"/>
      <c r="O40" s="265"/>
      <c r="P40" s="997"/>
      <c r="Q40" s="265"/>
      <c r="R40" s="265">
        <v>300</v>
      </c>
      <c r="S40" s="265"/>
      <c r="T40" s="265"/>
      <c r="U40" s="265"/>
      <c r="V40" s="265"/>
      <c r="W40" s="265"/>
      <c r="X40" s="997">
        <f t="shared" si="20"/>
        <v>300</v>
      </c>
      <c r="Y40" s="997">
        <f t="shared" si="21"/>
        <v>0</v>
      </c>
      <c r="Z40" s="989">
        <f t="shared" si="22"/>
        <v>300</v>
      </c>
      <c r="AA40" s="989">
        <f t="shared" si="23"/>
        <v>23033.333333333332</v>
      </c>
      <c r="AB40" s="996">
        <f t="shared" si="24"/>
        <v>27700</v>
      </c>
    </row>
    <row r="41" spans="1:28" x14ac:dyDescent="0.25">
      <c r="A41" s="273" t="s">
        <v>721</v>
      </c>
      <c r="B41" s="114" t="s">
        <v>76</v>
      </c>
      <c r="C41" s="40"/>
      <c r="D41" s="989"/>
      <c r="E41" s="989"/>
      <c r="F41" s="989"/>
      <c r="G41" s="989"/>
      <c r="H41" s="989">
        <f t="shared" si="16"/>
        <v>0</v>
      </c>
      <c r="I41" s="989">
        <f t="shared" si="17"/>
        <v>0</v>
      </c>
      <c r="J41" s="989">
        <f t="shared" si="18"/>
        <v>0</v>
      </c>
      <c r="K41" s="40">
        <f t="shared" si="19"/>
        <v>0</v>
      </c>
      <c r="L41" s="266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997">
        <f t="shared" si="20"/>
        <v>0</v>
      </c>
      <c r="Y41" s="997">
        <f t="shared" si="21"/>
        <v>0</v>
      </c>
      <c r="Z41" s="989">
        <f t="shared" si="22"/>
        <v>0</v>
      </c>
      <c r="AA41" s="989">
        <f t="shared" si="23"/>
        <v>0</v>
      </c>
      <c r="AB41" s="996">
        <f t="shared" si="24"/>
        <v>0</v>
      </c>
    </row>
    <row r="42" spans="1:28" x14ac:dyDescent="0.25">
      <c r="A42" s="383" t="s">
        <v>110</v>
      </c>
      <c r="B42" s="114" t="s">
        <v>87</v>
      </c>
      <c r="C42" s="40">
        <v>10000</v>
      </c>
      <c r="D42" s="989"/>
      <c r="E42" s="989"/>
      <c r="F42" s="989"/>
      <c r="G42" s="989"/>
      <c r="H42" s="989">
        <f t="shared" si="16"/>
        <v>10000</v>
      </c>
      <c r="I42" s="989">
        <f t="shared" si="17"/>
        <v>7500</v>
      </c>
      <c r="J42" s="989">
        <f t="shared" si="18"/>
        <v>833.33333333333337</v>
      </c>
      <c r="K42" s="40">
        <f t="shared" si="19"/>
        <v>8333.3333333333339</v>
      </c>
      <c r="L42" s="266"/>
      <c r="M42" s="265">
        <v>350</v>
      </c>
      <c r="N42" s="265"/>
      <c r="O42" s="265"/>
      <c r="P42" s="265"/>
      <c r="Q42" s="265">
        <v>3300</v>
      </c>
      <c r="R42" s="265"/>
      <c r="S42" s="265"/>
      <c r="T42" s="265"/>
      <c r="U42" s="265"/>
      <c r="V42" s="265"/>
      <c r="W42" s="265"/>
      <c r="X42" s="997">
        <f t="shared" si="20"/>
        <v>3650</v>
      </c>
      <c r="Y42" s="997">
        <f t="shared" si="21"/>
        <v>0</v>
      </c>
      <c r="Z42" s="989">
        <f t="shared" si="22"/>
        <v>3650</v>
      </c>
      <c r="AA42" s="989">
        <f t="shared" si="23"/>
        <v>4683.3333333333339</v>
      </c>
      <c r="AB42" s="996">
        <f t="shared" si="24"/>
        <v>6350</v>
      </c>
    </row>
    <row r="43" spans="1:28" x14ac:dyDescent="0.25">
      <c r="A43" s="383" t="s">
        <v>390</v>
      </c>
      <c r="B43" s="108" t="s">
        <v>93</v>
      </c>
      <c r="C43" s="40">
        <v>10000</v>
      </c>
      <c r="D43" s="989"/>
      <c r="E43" s="989"/>
      <c r="F43" s="989"/>
      <c r="G43" s="989"/>
      <c r="H43" s="989">
        <f t="shared" si="16"/>
        <v>10000</v>
      </c>
      <c r="I43" s="989">
        <f t="shared" si="17"/>
        <v>7500</v>
      </c>
      <c r="J43" s="989">
        <f t="shared" si="18"/>
        <v>833.33333333333337</v>
      </c>
      <c r="K43" s="40">
        <f t="shared" si="19"/>
        <v>8333.3333333333339</v>
      </c>
      <c r="L43" s="266"/>
      <c r="M43" s="265"/>
      <c r="N43" s="265">
        <v>1800</v>
      </c>
      <c r="O43" s="265"/>
      <c r="P43" s="265"/>
      <c r="Q43" s="265"/>
      <c r="R43" s="265"/>
      <c r="S43" s="265"/>
      <c r="T43" s="265"/>
      <c r="U43" s="265"/>
      <c r="V43" s="265"/>
      <c r="W43" s="265"/>
      <c r="X43" s="997">
        <f t="shared" si="20"/>
        <v>1800</v>
      </c>
      <c r="Y43" s="997">
        <f t="shared" si="21"/>
        <v>0</v>
      </c>
      <c r="Z43" s="989">
        <f t="shared" si="22"/>
        <v>1800</v>
      </c>
      <c r="AA43" s="989">
        <f t="shared" si="23"/>
        <v>6533.3333333333339</v>
      </c>
      <c r="AB43" s="996">
        <f t="shared" si="24"/>
        <v>8200</v>
      </c>
    </row>
    <row r="44" spans="1:28" x14ac:dyDescent="0.25">
      <c r="A44" s="518" t="s">
        <v>722</v>
      </c>
      <c r="B44" s="114" t="s">
        <v>104</v>
      </c>
      <c r="C44" s="40">
        <v>5000</v>
      </c>
      <c r="D44" s="989"/>
      <c r="E44" s="989"/>
      <c r="F44" s="989"/>
      <c r="G44" s="989"/>
      <c r="H44" s="989">
        <f t="shared" si="16"/>
        <v>5000</v>
      </c>
      <c r="I44" s="989">
        <f t="shared" si="17"/>
        <v>3750</v>
      </c>
      <c r="J44" s="989">
        <f t="shared" si="18"/>
        <v>416.66666666666669</v>
      </c>
      <c r="K44" s="40">
        <f t="shared" si="19"/>
        <v>4166.666666666667</v>
      </c>
      <c r="L44" s="266"/>
      <c r="M44" s="265">
        <v>1696</v>
      </c>
      <c r="N44" s="265"/>
      <c r="O44" s="265"/>
      <c r="P44" s="265"/>
      <c r="Q44" s="265"/>
      <c r="R44" s="265"/>
      <c r="S44" s="265"/>
      <c r="T44" s="265">
        <v>1276.5</v>
      </c>
      <c r="U44" s="265"/>
      <c r="V44" s="265"/>
      <c r="W44" s="265"/>
      <c r="X44" s="997">
        <f t="shared" si="20"/>
        <v>2972.5</v>
      </c>
      <c r="Y44" s="997">
        <f t="shared" si="21"/>
        <v>0</v>
      </c>
      <c r="Z44" s="989">
        <f t="shared" si="22"/>
        <v>2972.5</v>
      </c>
      <c r="AA44" s="989">
        <f t="shared" si="23"/>
        <v>1194.166666666667</v>
      </c>
      <c r="AB44" s="996">
        <f t="shared" si="24"/>
        <v>2027.5</v>
      </c>
    </row>
    <row r="45" spans="1:28" x14ac:dyDescent="0.25">
      <c r="A45" s="365" t="s">
        <v>253</v>
      </c>
      <c r="B45" s="147" t="s">
        <v>106</v>
      </c>
      <c r="C45" s="40"/>
      <c r="D45" s="989"/>
      <c r="E45" s="989"/>
      <c r="F45" s="989"/>
      <c r="G45" s="989"/>
      <c r="H45" s="989">
        <f t="shared" si="16"/>
        <v>0</v>
      </c>
      <c r="I45" s="989">
        <f t="shared" si="17"/>
        <v>0</v>
      </c>
      <c r="J45" s="989">
        <f t="shared" si="18"/>
        <v>0</v>
      </c>
      <c r="K45" s="40">
        <f t="shared" si="19"/>
        <v>0</v>
      </c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997">
        <f t="shared" si="20"/>
        <v>0</v>
      </c>
      <c r="Y45" s="997">
        <f t="shared" si="21"/>
        <v>0</v>
      </c>
      <c r="Z45" s="989">
        <f t="shared" si="22"/>
        <v>0</v>
      </c>
      <c r="AA45" s="989">
        <f t="shared" si="23"/>
        <v>0</v>
      </c>
      <c r="AB45" s="996">
        <f t="shared" si="24"/>
        <v>0</v>
      </c>
    </row>
    <row r="46" spans="1:28" x14ac:dyDescent="0.25">
      <c r="A46" s="162" t="s">
        <v>723</v>
      </c>
      <c r="B46" s="147" t="s">
        <v>242</v>
      </c>
      <c r="C46" s="40">
        <f>30000+5000</f>
        <v>35000</v>
      </c>
      <c r="D46" s="989"/>
      <c r="E46" s="989"/>
      <c r="F46" s="989"/>
      <c r="G46" s="989"/>
      <c r="H46" s="989">
        <f t="shared" si="16"/>
        <v>35000</v>
      </c>
      <c r="I46" s="989">
        <f t="shared" si="17"/>
        <v>26250</v>
      </c>
      <c r="J46" s="989">
        <f t="shared" si="18"/>
        <v>2916.6666666666665</v>
      </c>
      <c r="K46" s="40">
        <f t="shared" si="19"/>
        <v>29166.666666666668</v>
      </c>
      <c r="L46" s="123"/>
      <c r="M46" s="117">
        <v>950</v>
      </c>
      <c r="N46" s="117">
        <v>840</v>
      </c>
      <c r="O46" s="123"/>
      <c r="P46" s="123"/>
      <c r="Q46" s="123">
        <v>270</v>
      </c>
      <c r="R46" s="123">
        <v>625</v>
      </c>
      <c r="S46" s="123">
        <v>1755</v>
      </c>
      <c r="T46" s="123">
        <v>375</v>
      </c>
      <c r="U46" s="123"/>
      <c r="V46" s="123"/>
      <c r="W46" s="123"/>
      <c r="X46" s="997">
        <f t="shared" si="20"/>
        <v>4815</v>
      </c>
      <c r="Y46" s="997">
        <f t="shared" si="21"/>
        <v>0</v>
      </c>
      <c r="Z46" s="989">
        <f t="shared" si="22"/>
        <v>4815</v>
      </c>
      <c r="AA46" s="989">
        <f t="shared" si="23"/>
        <v>24351.666666666668</v>
      </c>
      <c r="AB46" s="996">
        <f t="shared" si="24"/>
        <v>30185</v>
      </c>
    </row>
    <row r="47" spans="1:28" x14ac:dyDescent="0.25">
      <c r="A47" s="162" t="s">
        <v>724</v>
      </c>
      <c r="B47" s="147"/>
      <c r="C47" s="40"/>
      <c r="D47" s="989"/>
      <c r="E47" s="989"/>
      <c r="F47" s="989"/>
      <c r="G47" s="989"/>
      <c r="H47" s="989">
        <f t="shared" si="16"/>
        <v>0</v>
      </c>
      <c r="I47" s="989">
        <f t="shared" si="17"/>
        <v>0</v>
      </c>
      <c r="J47" s="989">
        <f t="shared" si="18"/>
        <v>0</v>
      </c>
      <c r="K47" s="40">
        <f t="shared" si="19"/>
        <v>0</v>
      </c>
      <c r="L47" s="123"/>
      <c r="M47" s="117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997">
        <f t="shared" si="20"/>
        <v>0</v>
      </c>
      <c r="Y47" s="997">
        <f t="shared" si="21"/>
        <v>0</v>
      </c>
      <c r="Z47" s="989">
        <f t="shared" si="22"/>
        <v>0</v>
      </c>
      <c r="AA47" s="989">
        <f t="shared" si="23"/>
        <v>0</v>
      </c>
      <c r="AB47" s="996">
        <f t="shared" si="24"/>
        <v>0</v>
      </c>
    </row>
    <row r="48" spans="1:28" x14ac:dyDescent="0.25">
      <c r="A48" s="365" t="s">
        <v>155</v>
      </c>
      <c r="B48" s="147"/>
      <c r="C48" s="40">
        <v>20000</v>
      </c>
      <c r="D48" s="989"/>
      <c r="E48" s="989"/>
      <c r="F48" s="989"/>
      <c r="G48" s="989"/>
      <c r="H48" s="989">
        <f t="shared" si="16"/>
        <v>20000</v>
      </c>
      <c r="I48" s="989">
        <f t="shared" si="17"/>
        <v>15000</v>
      </c>
      <c r="J48" s="989">
        <f t="shared" si="18"/>
        <v>1666.6666666666667</v>
      </c>
      <c r="K48" s="40">
        <f t="shared" si="19"/>
        <v>16666.666666666668</v>
      </c>
      <c r="L48" s="123"/>
      <c r="M48" s="123"/>
      <c r="N48" s="123"/>
      <c r="O48" s="123"/>
      <c r="P48" s="123"/>
      <c r="Q48" s="123"/>
      <c r="R48" s="123">
        <v>500</v>
      </c>
      <c r="S48" s="123"/>
      <c r="T48" s="123"/>
      <c r="U48" s="123"/>
      <c r="V48" s="123"/>
      <c r="W48" s="123"/>
      <c r="X48" s="997">
        <f t="shared" si="20"/>
        <v>500</v>
      </c>
      <c r="Y48" s="997">
        <f t="shared" si="21"/>
        <v>0</v>
      </c>
      <c r="Z48" s="989">
        <f t="shared" si="22"/>
        <v>500</v>
      </c>
      <c r="AA48" s="989">
        <f t="shared" si="23"/>
        <v>16166.666666666668</v>
      </c>
      <c r="AB48" s="996">
        <f t="shared" si="24"/>
        <v>19500</v>
      </c>
    </row>
    <row r="49" spans="1:28" x14ac:dyDescent="0.25">
      <c r="A49" s="190" t="s">
        <v>108</v>
      </c>
      <c r="B49" s="195"/>
      <c r="C49" s="123">
        <f>SUM(C34:C48)</f>
        <v>792448.6</v>
      </c>
      <c r="D49" s="123">
        <f>SUM(D34:D48)</f>
        <v>25000</v>
      </c>
      <c r="E49" s="123">
        <f>SUM(E34:E48)</f>
        <v>0</v>
      </c>
      <c r="F49" s="123">
        <f t="shared" ref="F49:G49" si="25">SUM(F34:F48)</f>
        <v>12320</v>
      </c>
      <c r="G49" s="123">
        <f t="shared" si="25"/>
        <v>0</v>
      </c>
      <c r="H49" s="123">
        <f t="shared" ref="H49:Z49" si="26">SUM(H34:H48)</f>
        <v>829768.6</v>
      </c>
      <c r="I49" s="123">
        <f t="shared" si="26"/>
        <v>622326.44999999995</v>
      </c>
      <c r="J49" s="123">
        <f t="shared" si="26"/>
        <v>69147.383333333346</v>
      </c>
      <c r="K49" s="123">
        <f t="shared" si="26"/>
        <v>691473.83333333326</v>
      </c>
      <c r="L49" s="123">
        <f t="shared" si="26"/>
        <v>28253.33</v>
      </c>
      <c r="M49" s="123">
        <f t="shared" si="26"/>
        <v>49129.47</v>
      </c>
      <c r="N49" s="123">
        <f>SUM(N34:N48)</f>
        <v>63309.66</v>
      </c>
      <c r="O49" s="123">
        <f t="shared" si="26"/>
        <v>43054.16</v>
      </c>
      <c r="P49" s="123">
        <f t="shared" si="26"/>
        <v>43469.25</v>
      </c>
      <c r="Q49" s="123">
        <f t="shared" si="26"/>
        <v>66214.960000000006</v>
      </c>
      <c r="R49" s="123">
        <f t="shared" si="26"/>
        <v>40017.460000000006</v>
      </c>
      <c r="S49" s="123">
        <f t="shared" si="26"/>
        <v>98756.38</v>
      </c>
      <c r="T49" s="123">
        <f t="shared" si="26"/>
        <v>56690</v>
      </c>
      <c r="U49" s="123">
        <f t="shared" si="26"/>
        <v>56229.95</v>
      </c>
      <c r="V49" s="123">
        <f t="shared" si="26"/>
        <v>0</v>
      </c>
      <c r="W49" s="123">
        <f t="shared" si="26"/>
        <v>0</v>
      </c>
      <c r="X49" s="123">
        <f t="shared" si="26"/>
        <v>488894.67</v>
      </c>
      <c r="Y49" s="123">
        <f t="shared" si="26"/>
        <v>56229.95</v>
      </c>
      <c r="Z49" s="123">
        <f t="shared" si="26"/>
        <v>545124.62</v>
      </c>
      <c r="AA49" s="123">
        <f>SUM(AA34:AA48)</f>
        <v>146349.21333333329</v>
      </c>
      <c r="AB49" s="123">
        <f>SUM(AB34:AB48)</f>
        <v>284643.98</v>
      </c>
    </row>
    <row r="50" spans="1:28" x14ac:dyDescent="0.25">
      <c r="A50" s="190" t="s">
        <v>320</v>
      </c>
      <c r="B50" s="195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265">
        <f t="shared" ref="Y50" si="27">L50</f>
        <v>0</v>
      </c>
      <c r="Z50" s="109">
        <f t="shared" ref="Z50:Z52" si="28">X50+Y50</f>
        <v>0</v>
      </c>
      <c r="AA50" s="989">
        <f t="shared" ref="AA50:AA52" si="29">K50-Z50</f>
        <v>0</v>
      </c>
      <c r="AB50" s="996">
        <f t="shared" ref="AB50:AB52" si="30">H50-Z50</f>
        <v>0</v>
      </c>
    </row>
    <row r="51" spans="1:28" x14ac:dyDescent="0.25">
      <c r="A51" s="919" t="s">
        <v>325</v>
      </c>
      <c r="B51" s="195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997">
        <f t="shared" ref="X51:X52" si="31">L51+M51+N51+O51+P51+Q51+R51+S51+T51</f>
        <v>0</v>
      </c>
      <c r="Y51" s="997">
        <f t="shared" ref="Y51:Y52" si="32">U51</f>
        <v>0</v>
      </c>
      <c r="Z51" s="109">
        <f t="shared" si="28"/>
        <v>0</v>
      </c>
      <c r="AA51" s="989">
        <f t="shared" si="29"/>
        <v>0</v>
      </c>
      <c r="AB51" s="996">
        <f t="shared" si="30"/>
        <v>0</v>
      </c>
    </row>
    <row r="52" spans="1:28" x14ac:dyDescent="0.25">
      <c r="A52" s="920" t="s">
        <v>1128</v>
      </c>
      <c r="B52" s="195"/>
      <c r="C52" s="117">
        <v>50000</v>
      </c>
      <c r="D52" s="117"/>
      <c r="E52" s="117"/>
      <c r="F52" s="117"/>
      <c r="G52" s="117"/>
      <c r="H52" s="989">
        <f t="shared" ref="H52" si="33">SUM(C52:G52)</f>
        <v>50000</v>
      </c>
      <c r="I52" s="117">
        <f>H52</f>
        <v>50000</v>
      </c>
      <c r="J52" s="117">
        <f>H52</f>
        <v>50000</v>
      </c>
      <c r="K52" s="117">
        <f>J52</f>
        <v>50000</v>
      </c>
      <c r="L52" s="123"/>
      <c r="M52" s="117">
        <v>49900</v>
      </c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997">
        <f t="shared" si="31"/>
        <v>49900</v>
      </c>
      <c r="Y52" s="997">
        <f t="shared" si="32"/>
        <v>0</v>
      </c>
      <c r="Z52" s="989">
        <f t="shared" si="28"/>
        <v>49900</v>
      </c>
      <c r="AA52" s="989">
        <f t="shared" si="29"/>
        <v>100</v>
      </c>
      <c r="AB52" s="996">
        <f t="shared" si="30"/>
        <v>100</v>
      </c>
    </row>
    <row r="53" spans="1:28" x14ac:dyDescent="0.25">
      <c r="A53" s="190" t="s">
        <v>322</v>
      </c>
      <c r="B53" s="195"/>
      <c r="C53" s="123">
        <f>SUM(C52)</f>
        <v>50000</v>
      </c>
      <c r="D53" s="123">
        <f>SUM(D52)</f>
        <v>0</v>
      </c>
      <c r="E53" s="123">
        <f t="shared" ref="E53:G53" si="34">SUM(E52)</f>
        <v>0</v>
      </c>
      <c r="F53" s="123">
        <f t="shared" si="34"/>
        <v>0</v>
      </c>
      <c r="G53" s="123">
        <f t="shared" si="34"/>
        <v>0</v>
      </c>
      <c r="H53" s="123">
        <f t="shared" ref="H53:AB53" si="35">SUM(H52)</f>
        <v>50000</v>
      </c>
      <c r="I53" s="123">
        <f t="shared" si="35"/>
        <v>50000</v>
      </c>
      <c r="J53" s="123">
        <f t="shared" si="35"/>
        <v>50000</v>
      </c>
      <c r="K53" s="123">
        <f t="shared" si="35"/>
        <v>50000</v>
      </c>
      <c r="L53" s="123">
        <f t="shared" si="35"/>
        <v>0</v>
      </c>
      <c r="M53" s="123">
        <f t="shared" si="35"/>
        <v>49900</v>
      </c>
      <c r="N53" s="123">
        <f t="shared" si="35"/>
        <v>0</v>
      </c>
      <c r="O53" s="123">
        <f t="shared" si="35"/>
        <v>0</v>
      </c>
      <c r="P53" s="123">
        <f t="shared" si="35"/>
        <v>0</v>
      </c>
      <c r="Q53" s="123">
        <f t="shared" si="35"/>
        <v>0</v>
      </c>
      <c r="R53" s="123">
        <f t="shared" si="35"/>
        <v>0</v>
      </c>
      <c r="S53" s="123">
        <f t="shared" si="35"/>
        <v>0</v>
      </c>
      <c r="T53" s="123">
        <f t="shared" si="35"/>
        <v>0</v>
      </c>
      <c r="U53" s="123">
        <f t="shared" si="35"/>
        <v>0</v>
      </c>
      <c r="V53" s="123">
        <f t="shared" si="35"/>
        <v>0</v>
      </c>
      <c r="W53" s="123">
        <f t="shared" si="35"/>
        <v>0</v>
      </c>
      <c r="X53" s="123">
        <f t="shared" si="35"/>
        <v>49900</v>
      </c>
      <c r="Y53" s="123">
        <f t="shared" si="35"/>
        <v>0</v>
      </c>
      <c r="Z53" s="123">
        <f t="shared" si="35"/>
        <v>49900</v>
      </c>
      <c r="AA53" s="123">
        <f>SUM(AA52)</f>
        <v>100</v>
      </c>
      <c r="AB53" s="123">
        <f t="shared" si="35"/>
        <v>100</v>
      </c>
    </row>
    <row r="54" spans="1:28" x14ac:dyDescent="0.25">
      <c r="A54" s="512" t="s">
        <v>319</v>
      </c>
      <c r="B54" s="513"/>
      <c r="C54" s="514"/>
      <c r="D54" s="514"/>
      <c r="E54" s="514"/>
      <c r="F54" s="514"/>
      <c r="G54" s="514"/>
      <c r="H54" s="514"/>
      <c r="I54" s="514"/>
      <c r="J54" s="514"/>
      <c r="K54" s="514"/>
      <c r="L54" s="514"/>
      <c r="M54" s="514"/>
      <c r="N54" s="514"/>
      <c r="O54" s="514"/>
      <c r="P54" s="514"/>
      <c r="Q54" s="514"/>
      <c r="R54" s="514"/>
      <c r="S54" s="514"/>
      <c r="T54" s="514"/>
      <c r="U54" s="514"/>
      <c r="V54" s="514"/>
      <c r="W54" s="514"/>
      <c r="X54" s="514"/>
      <c r="Y54" s="514"/>
      <c r="Z54" s="514"/>
      <c r="AA54" s="514"/>
      <c r="AB54" s="514"/>
    </row>
    <row r="55" spans="1:28" x14ac:dyDescent="0.25">
      <c r="A55" s="187" t="s">
        <v>112</v>
      </c>
      <c r="B55" s="195" t="s">
        <v>113</v>
      </c>
      <c r="C55" s="514"/>
      <c r="D55" s="514"/>
      <c r="E55" s="514"/>
      <c r="F55" s="514"/>
      <c r="G55" s="514"/>
      <c r="H55" s="514"/>
      <c r="I55" s="514"/>
      <c r="J55" s="514"/>
      <c r="K55" s="514"/>
      <c r="L55" s="514"/>
      <c r="M55" s="514"/>
      <c r="N55" s="514"/>
      <c r="O55" s="514"/>
      <c r="P55" s="514"/>
      <c r="Q55" s="514"/>
      <c r="R55" s="514"/>
      <c r="S55" s="514"/>
      <c r="T55" s="514"/>
      <c r="U55" s="514"/>
      <c r="V55" s="514"/>
      <c r="W55" s="514"/>
      <c r="X55" s="997">
        <f t="shared" ref="X55:X59" si="36">L55+M55+N55+O55+P55+Q55+R55+S55+T55</f>
        <v>0</v>
      </c>
      <c r="Y55" s="997">
        <f t="shared" ref="Y55:Y59" si="37">U55</f>
        <v>0</v>
      </c>
      <c r="Z55" s="514"/>
      <c r="AA55" s="514"/>
      <c r="AB55" s="514"/>
    </row>
    <row r="56" spans="1:28" x14ac:dyDescent="0.25">
      <c r="A56" s="515" t="s">
        <v>716</v>
      </c>
      <c r="B56" s="516"/>
      <c r="C56" s="228">
        <v>15000</v>
      </c>
      <c r="D56" s="228"/>
      <c r="E56" s="228"/>
      <c r="F56" s="228"/>
      <c r="G56" s="228"/>
      <c r="H56" s="989">
        <f t="shared" ref="H56:H59" si="38">SUM(C56:G56)</f>
        <v>15000</v>
      </c>
      <c r="I56" s="228">
        <f>H56</f>
        <v>15000</v>
      </c>
      <c r="J56" s="117">
        <f t="shared" ref="J56:J59" si="39">H56</f>
        <v>15000</v>
      </c>
      <c r="K56" s="117">
        <f t="shared" ref="K56:K59" si="40">H56</f>
        <v>15000</v>
      </c>
      <c r="L56" s="228"/>
      <c r="M56" s="228"/>
      <c r="N56" s="228">
        <v>15000</v>
      </c>
      <c r="O56" s="228"/>
      <c r="P56" s="228"/>
      <c r="Q56" s="228"/>
      <c r="R56" s="228"/>
      <c r="S56" s="228"/>
      <c r="T56" s="228"/>
      <c r="U56" s="228"/>
      <c r="V56" s="228"/>
      <c r="W56" s="228"/>
      <c r="X56" s="997">
        <f t="shared" si="36"/>
        <v>15000</v>
      </c>
      <c r="Y56" s="997">
        <f t="shared" si="37"/>
        <v>0</v>
      </c>
      <c r="Z56" s="989">
        <f t="shared" ref="Z56:Z59" si="41">X56+Y56</f>
        <v>15000</v>
      </c>
      <c r="AA56" s="989">
        <f t="shared" ref="AA56:AA59" si="42">K56-Z56</f>
        <v>0</v>
      </c>
      <c r="AB56" s="996">
        <f t="shared" ref="AB56:AB59" si="43">H56-Z56</f>
        <v>0</v>
      </c>
    </row>
    <row r="57" spans="1:28" x14ac:dyDescent="0.25">
      <c r="A57" s="515" t="s">
        <v>391</v>
      </c>
      <c r="B57" s="516"/>
      <c r="C57" s="228">
        <v>40000</v>
      </c>
      <c r="D57" s="228"/>
      <c r="E57" s="228"/>
      <c r="F57" s="228"/>
      <c r="G57" s="228"/>
      <c r="H57" s="989">
        <f t="shared" si="38"/>
        <v>40000</v>
      </c>
      <c r="I57" s="228">
        <f t="shared" ref="I57:I59" si="44">H57</f>
        <v>40000</v>
      </c>
      <c r="J57" s="117">
        <f t="shared" si="39"/>
        <v>40000</v>
      </c>
      <c r="K57" s="117">
        <f t="shared" si="40"/>
        <v>40000</v>
      </c>
      <c r="L57" s="228"/>
      <c r="M57" s="228"/>
      <c r="N57" s="228">
        <v>33000</v>
      </c>
      <c r="O57" s="228"/>
      <c r="P57" s="228"/>
      <c r="Q57" s="228"/>
      <c r="R57" s="228"/>
      <c r="S57" s="228"/>
      <c r="T57" s="228"/>
      <c r="U57" s="228"/>
      <c r="V57" s="228"/>
      <c r="W57" s="228"/>
      <c r="X57" s="997">
        <f t="shared" si="36"/>
        <v>33000</v>
      </c>
      <c r="Y57" s="997">
        <f t="shared" si="37"/>
        <v>0</v>
      </c>
      <c r="Z57" s="989">
        <f t="shared" si="41"/>
        <v>33000</v>
      </c>
      <c r="AA57" s="989">
        <f t="shared" si="42"/>
        <v>7000</v>
      </c>
      <c r="AB57" s="996">
        <f t="shared" si="43"/>
        <v>7000</v>
      </c>
    </row>
    <row r="58" spans="1:28" x14ac:dyDescent="0.25">
      <c r="A58" s="512" t="s">
        <v>392</v>
      </c>
      <c r="B58" s="513" t="s">
        <v>118</v>
      </c>
      <c r="C58" s="228"/>
      <c r="D58" s="228"/>
      <c r="E58" s="228"/>
      <c r="F58" s="228"/>
      <c r="G58" s="228"/>
      <c r="H58" s="989">
        <f t="shared" si="38"/>
        <v>0</v>
      </c>
      <c r="I58" s="228">
        <f t="shared" si="44"/>
        <v>0</v>
      </c>
      <c r="J58" s="117">
        <f t="shared" si="39"/>
        <v>0</v>
      </c>
      <c r="K58" s="117">
        <f t="shared" si="40"/>
        <v>0</v>
      </c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997">
        <f t="shared" si="36"/>
        <v>0</v>
      </c>
      <c r="Y58" s="997">
        <f t="shared" si="37"/>
        <v>0</v>
      </c>
      <c r="Z58" s="989">
        <f t="shared" si="41"/>
        <v>0</v>
      </c>
      <c r="AA58" s="989">
        <f t="shared" si="42"/>
        <v>0</v>
      </c>
      <c r="AB58" s="996">
        <f t="shared" si="43"/>
        <v>0</v>
      </c>
    </row>
    <row r="59" spans="1:28" ht="26.25" x14ac:dyDescent="0.25">
      <c r="A59" s="517" t="s">
        <v>717</v>
      </c>
      <c r="B59" s="516"/>
      <c r="C59" s="228">
        <v>5500</v>
      </c>
      <c r="D59" s="228"/>
      <c r="E59" s="228"/>
      <c r="F59" s="228"/>
      <c r="G59" s="228"/>
      <c r="H59" s="989">
        <f t="shared" si="38"/>
        <v>5500</v>
      </c>
      <c r="I59" s="228">
        <f t="shared" si="44"/>
        <v>5500</v>
      </c>
      <c r="J59" s="117">
        <f t="shared" si="39"/>
        <v>5500</v>
      </c>
      <c r="K59" s="117">
        <f t="shared" si="40"/>
        <v>5500</v>
      </c>
      <c r="L59" s="228"/>
      <c r="M59" s="228"/>
      <c r="N59" s="228"/>
      <c r="O59" s="228"/>
      <c r="P59" s="228"/>
      <c r="Q59" s="228"/>
      <c r="R59" s="228"/>
      <c r="S59" s="228">
        <v>4680</v>
      </c>
      <c r="T59" s="228"/>
      <c r="U59" s="228"/>
      <c r="V59" s="228"/>
      <c r="W59" s="228"/>
      <c r="X59" s="997">
        <f t="shared" si="36"/>
        <v>4680</v>
      </c>
      <c r="Y59" s="997">
        <f t="shared" si="37"/>
        <v>0</v>
      </c>
      <c r="Z59" s="989">
        <f t="shared" si="41"/>
        <v>4680</v>
      </c>
      <c r="AA59" s="989">
        <f t="shared" si="42"/>
        <v>820</v>
      </c>
      <c r="AB59" s="996">
        <f t="shared" si="43"/>
        <v>820</v>
      </c>
    </row>
    <row r="60" spans="1:28" s="300" customFormat="1" x14ac:dyDescent="0.25">
      <c r="A60" s="190" t="s">
        <v>718</v>
      </c>
      <c r="B60" s="513"/>
      <c r="C60" s="514">
        <f>SUM(C56:C59)</f>
        <v>60500</v>
      </c>
      <c r="D60" s="514">
        <f>SUM(D56:D59)</f>
        <v>0</v>
      </c>
      <c r="E60" s="514">
        <f>SUM(E56:E59)</f>
        <v>0</v>
      </c>
      <c r="F60" s="514">
        <f>SUM(F56:F59)</f>
        <v>0</v>
      </c>
      <c r="G60" s="514">
        <f>SUM(G56:G59)</f>
        <v>0</v>
      </c>
      <c r="H60" s="514">
        <f t="shared" ref="H60:AB60" si="45">SUM(H56:H59)</f>
        <v>60500</v>
      </c>
      <c r="I60" s="514">
        <f t="shared" si="45"/>
        <v>60500</v>
      </c>
      <c r="J60" s="514">
        <f t="shared" si="45"/>
        <v>60500</v>
      </c>
      <c r="K60" s="514">
        <f t="shared" si="45"/>
        <v>60500</v>
      </c>
      <c r="L60" s="514">
        <f t="shared" si="45"/>
        <v>0</v>
      </c>
      <c r="M60" s="514">
        <f t="shared" si="45"/>
        <v>0</v>
      </c>
      <c r="N60" s="514">
        <f t="shared" si="45"/>
        <v>48000</v>
      </c>
      <c r="O60" s="514">
        <f t="shared" si="45"/>
        <v>0</v>
      </c>
      <c r="P60" s="514">
        <f t="shared" si="45"/>
        <v>0</v>
      </c>
      <c r="Q60" s="514">
        <f t="shared" si="45"/>
        <v>0</v>
      </c>
      <c r="R60" s="514">
        <f t="shared" si="45"/>
        <v>0</v>
      </c>
      <c r="S60" s="514">
        <f t="shared" si="45"/>
        <v>4680</v>
      </c>
      <c r="T60" s="514">
        <f t="shared" ref="T60" si="46">SUM(T56:T59)</f>
        <v>0</v>
      </c>
      <c r="U60" s="514">
        <f t="shared" si="45"/>
        <v>0</v>
      </c>
      <c r="V60" s="514">
        <f t="shared" si="45"/>
        <v>0</v>
      </c>
      <c r="W60" s="514">
        <f t="shared" si="45"/>
        <v>0</v>
      </c>
      <c r="X60" s="514">
        <f t="shared" si="45"/>
        <v>52680</v>
      </c>
      <c r="Y60" s="514">
        <f t="shared" si="45"/>
        <v>0</v>
      </c>
      <c r="Z60" s="514">
        <f t="shared" si="45"/>
        <v>52680</v>
      </c>
      <c r="AA60" s="514">
        <f t="shared" si="45"/>
        <v>7820</v>
      </c>
      <c r="AB60" s="514">
        <f t="shared" si="45"/>
        <v>7820</v>
      </c>
    </row>
    <row r="61" spans="1:28" s="300" customFormat="1" x14ac:dyDescent="0.25">
      <c r="A61" s="512" t="s">
        <v>719</v>
      </c>
      <c r="B61" s="513"/>
      <c r="C61" s="514">
        <f>C53+C60</f>
        <v>110500</v>
      </c>
      <c r="D61" s="514">
        <f>D53+D60</f>
        <v>0</v>
      </c>
      <c r="E61" s="514">
        <f>E53+E60</f>
        <v>0</v>
      </c>
      <c r="F61" s="514">
        <f>F53+F60</f>
        <v>0</v>
      </c>
      <c r="G61" s="514">
        <f>G53+G60</f>
        <v>0</v>
      </c>
      <c r="H61" s="514">
        <f t="shared" ref="H61:AB61" si="47">H53+H60</f>
        <v>110500</v>
      </c>
      <c r="I61" s="514">
        <f t="shared" si="47"/>
        <v>110500</v>
      </c>
      <c r="J61" s="514">
        <f t="shared" si="47"/>
        <v>110500</v>
      </c>
      <c r="K61" s="514">
        <f t="shared" si="47"/>
        <v>110500</v>
      </c>
      <c r="L61" s="514">
        <f t="shared" si="47"/>
        <v>0</v>
      </c>
      <c r="M61" s="514">
        <f t="shared" si="47"/>
        <v>49900</v>
      </c>
      <c r="N61" s="514">
        <f t="shared" si="47"/>
        <v>48000</v>
      </c>
      <c r="O61" s="514">
        <f t="shared" si="47"/>
        <v>0</v>
      </c>
      <c r="P61" s="514">
        <f t="shared" si="47"/>
        <v>0</v>
      </c>
      <c r="Q61" s="514">
        <f t="shared" si="47"/>
        <v>0</v>
      </c>
      <c r="R61" s="514">
        <f t="shared" si="47"/>
        <v>0</v>
      </c>
      <c r="S61" s="514">
        <f t="shared" si="47"/>
        <v>4680</v>
      </c>
      <c r="T61" s="514">
        <f>T53+T60</f>
        <v>0</v>
      </c>
      <c r="U61" s="514">
        <f t="shared" si="47"/>
        <v>0</v>
      </c>
      <c r="V61" s="514">
        <f t="shared" si="47"/>
        <v>0</v>
      </c>
      <c r="W61" s="514">
        <f t="shared" si="47"/>
        <v>0</v>
      </c>
      <c r="X61" s="514">
        <f t="shared" si="47"/>
        <v>102580</v>
      </c>
      <c r="Y61" s="514">
        <f t="shared" si="47"/>
        <v>0</v>
      </c>
      <c r="Z61" s="514">
        <f t="shared" si="47"/>
        <v>102580</v>
      </c>
      <c r="AA61" s="514">
        <f t="shared" si="47"/>
        <v>7920</v>
      </c>
      <c r="AB61" s="514">
        <f t="shared" si="47"/>
        <v>7920</v>
      </c>
    </row>
    <row r="62" spans="1:28" ht="16.5" thickBot="1" x14ac:dyDescent="0.3">
      <c r="A62" s="196" t="s">
        <v>160</v>
      </c>
      <c r="B62" s="189"/>
      <c r="C62" s="368">
        <f>C32+C49+C61</f>
        <v>3128973.9400000004</v>
      </c>
      <c r="D62" s="368">
        <f>D32+D49+D61</f>
        <v>24099.34</v>
      </c>
      <c r="E62" s="368">
        <f>E32+E49+E61</f>
        <v>-73412.479999999996</v>
      </c>
      <c r="F62" s="368">
        <f>F32+F49+F61</f>
        <v>12320</v>
      </c>
      <c r="G62" s="368">
        <f>G32+G49+G61</f>
        <v>-37801.32</v>
      </c>
      <c r="H62" s="368">
        <f t="shared" ref="H62:AB62" si="48">H32+H49+H61</f>
        <v>3054179.48</v>
      </c>
      <c r="I62" s="368">
        <f t="shared" si="48"/>
        <v>2321259.61</v>
      </c>
      <c r="J62" s="368">
        <f t="shared" si="48"/>
        <v>355806.62333333335</v>
      </c>
      <c r="K62" s="368">
        <f t="shared" si="48"/>
        <v>2566566.2333333334</v>
      </c>
      <c r="L62" s="368">
        <f t="shared" si="48"/>
        <v>169895.28000000003</v>
      </c>
      <c r="M62" s="368">
        <f t="shared" si="48"/>
        <v>232671.42</v>
      </c>
      <c r="N62" s="368">
        <f t="shared" si="48"/>
        <v>246218.15000000002</v>
      </c>
      <c r="O62" s="368">
        <f t="shared" si="48"/>
        <v>189670.47999999998</v>
      </c>
      <c r="P62" s="368">
        <f t="shared" si="48"/>
        <v>286801.37</v>
      </c>
      <c r="Q62" s="368">
        <f t="shared" si="48"/>
        <v>204076.08000000002</v>
      </c>
      <c r="R62" s="368">
        <f t="shared" si="48"/>
        <v>178328.25</v>
      </c>
      <c r="S62" s="368">
        <f t="shared" si="48"/>
        <v>272140.13</v>
      </c>
      <c r="T62" s="368">
        <f t="shared" ref="T62" si="49">T32+T49+T61</f>
        <v>195015.43</v>
      </c>
      <c r="U62" s="368">
        <f t="shared" si="48"/>
        <v>214372.81</v>
      </c>
      <c r="V62" s="368">
        <f t="shared" si="48"/>
        <v>0</v>
      </c>
      <c r="W62" s="368">
        <f t="shared" si="48"/>
        <v>0</v>
      </c>
      <c r="X62" s="368">
        <f t="shared" si="48"/>
        <v>1974816.59</v>
      </c>
      <c r="Y62" s="368">
        <f t="shared" si="48"/>
        <v>214372.81</v>
      </c>
      <c r="Z62" s="368">
        <f t="shared" si="48"/>
        <v>2189189.4000000004</v>
      </c>
      <c r="AA62" s="368">
        <f t="shared" si="48"/>
        <v>377376.83333333308</v>
      </c>
      <c r="AB62" s="368">
        <f t="shared" si="48"/>
        <v>864990.07999999984</v>
      </c>
    </row>
    <row r="63" spans="1:28" ht="15.75" thickTop="1" x14ac:dyDescent="0.25"/>
    <row r="64" spans="1:28" s="987" customFormat="1" x14ac:dyDescent="0.25"/>
    <row r="65" spans="1:27" s="987" customFormat="1" x14ac:dyDescent="0.25"/>
    <row r="66" spans="1:27" x14ac:dyDescent="0.25">
      <c r="A66" s="21" t="s">
        <v>354</v>
      </c>
      <c r="B66" s="30"/>
      <c r="C66" s="35"/>
      <c r="D66" s="35"/>
      <c r="E66" s="35"/>
      <c r="F66" s="35"/>
      <c r="G66" s="35"/>
      <c r="H66" s="35"/>
      <c r="I66" s="35"/>
      <c r="J66" s="35"/>
      <c r="AA66" s="259" t="s">
        <v>357</v>
      </c>
    </row>
    <row r="67" spans="1:27" s="987" customFormat="1" x14ac:dyDescent="0.25">
      <c r="B67" s="30"/>
      <c r="C67" s="35"/>
      <c r="D67" s="35"/>
      <c r="E67" s="35"/>
      <c r="F67" s="35"/>
      <c r="G67" s="35"/>
      <c r="H67" s="35"/>
      <c r="I67" s="35"/>
      <c r="J67" s="35"/>
      <c r="AA67" s="743"/>
    </row>
    <row r="69" spans="1:27" x14ac:dyDescent="0.25">
      <c r="B69" s="32"/>
      <c r="C69" s="36"/>
      <c r="D69" s="36"/>
      <c r="E69" s="36"/>
      <c r="F69" s="36"/>
      <c r="G69" s="36"/>
      <c r="H69" s="36"/>
      <c r="I69" s="36"/>
      <c r="J69" s="36"/>
    </row>
    <row r="70" spans="1:27" x14ac:dyDescent="0.25">
      <c r="A70" s="258" t="s">
        <v>355</v>
      </c>
      <c r="B70" s="14"/>
      <c r="C70" s="31"/>
      <c r="D70" s="31"/>
      <c r="E70" s="31"/>
      <c r="F70" s="31"/>
      <c r="G70" s="31"/>
      <c r="H70" s="31"/>
      <c r="I70" s="31"/>
      <c r="J70" s="31"/>
      <c r="AA70" s="260" t="s">
        <v>358</v>
      </c>
    </row>
    <row r="71" spans="1:27" x14ac:dyDescent="0.25">
      <c r="A71" s="259" t="s">
        <v>356</v>
      </c>
      <c r="AA71" s="259" t="s">
        <v>359</v>
      </c>
    </row>
  </sheetData>
  <mergeCells count="3">
    <mergeCell ref="A1:AB1"/>
    <mergeCell ref="A2:AB2"/>
    <mergeCell ref="A3:AB3"/>
  </mergeCells>
  <printOptions horizontalCentered="1" headings="1"/>
  <pageMargins left="0.7" right="0.2" top="1.25" bottom="0.5" header="0.3" footer="0.3"/>
  <pageSetup paperSize="5" scale="63" orientation="landscape" r:id="rId1"/>
  <rowBreaks count="1" manualBreakCount="1">
    <brk id="49" max="27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view="pageBreakPreview" zoomScale="86" zoomScaleNormal="100" zoomScaleSheetLayoutView="86" workbookViewId="0">
      <pane xSplit="1" topLeftCell="B1" activePane="topRight" state="frozen"/>
      <selection pane="topRight" activeCell="A20" sqref="A20"/>
    </sheetView>
  </sheetViews>
  <sheetFormatPr defaultRowHeight="15" outlineLevelCol="1" x14ac:dyDescent="0.25"/>
  <cols>
    <col min="1" max="1" width="40.7109375" style="29" customWidth="1"/>
    <col min="2" max="2" width="12.7109375" style="29"/>
    <col min="3" max="13" width="13.5703125" style="29" customWidth="1"/>
    <col min="14" max="14" width="12.7109375" style="29"/>
    <col min="15" max="15" width="12.7109375" style="270" hidden="1" customWidth="1" outlineLevel="1"/>
    <col min="16" max="26" width="12.7109375" style="29" hidden="1" customWidth="1" outlineLevel="1"/>
    <col min="27" max="27" width="11.140625" style="270" customWidth="1" collapsed="1"/>
    <col min="28" max="28" width="12.7109375" style="270"/>
    <col min="29" max="30" width="12.7109375" style="29"/>
    <col min="31" max="31" width="13.28515625" style="1329" bestFit="1" customWidth="1"/>
    <col min="32" max="16384" width="9.140625" style="29"/>
  </cols>
  <sheetData>
    <row r="1" spans="1:31" x14ac:dyDescent="0.25">
      <c r="A1" s="1439" t="s">
        <v>352</v>
      </c>
      <c r="B1" s="1439"/>
      <c r="C1" s="1439"/>
      <c r="D1" s="1439"/>
      <c r="E1" s="1439"/>
      <c r="F1" s="1439"/>
      <c r="G1" s="1439"/>
      <c r="H1" s="1439"/>
      <c r="I1" s="1439"/>
      <c r="J1" s="1439"/>
      <c r="K1" s="1439"/>
      <c r="L1" s="1439"/>
      <c r="M1" s="1439"/>
      <c r="N1" s="1439"/>
      <c r="O1" s="1439"/>
      <c r="P1" s="1439"/>
      <c r="Q1" s="1439"/>
      <c r="R1" s="1439"/>
      <c r="S1" s="1439"/>
      <c r="T1" s="1439"/>
      <c r="U1" s="1439"/>
      <c r="V1" s="1439"/>
      <c r="W1" s="1439"/>
      <c r="X1" s="1439"/>
      <c r="Y1" s="1439"/>
      <c r="Z1" s="1439"/>
      <c r="AA1" s="1439"/>
      <c r="AB1" s="1439"/>
      <c r="AC1" s="1439"/>
      <c r="AD1" s="1439"/>
      <c r="AE1" s="1439"/>
    </row>
    <row r="2" spans="1:31" x14ac:dyDescent="0.25">
      <c r="A2" s="1439" t="s">
        <v>353</v>
      </c>
      <c r="B2" s="1439"/>
      <c r="C2" s="1439"/>
      <c r="D2" s="1439"/>
      <c r="E2" s="1439"/>
      <c r="F2" s="1439"/>
      <c r="G2" s="1439"/>
      <c r="H2" s="1439"/>
      <c r="I2" s="1439"/>
      <c r="J2" s="1439"/>
      <c r="K2" s="1439"/>
      <c r="L2" s="1439"/>
      <c r="M2" s="1439"/>
      <c r="N2" s="1439"/>
      <c r="O2" s="1439"/>
      <c r="P2" s="1439"/>
      <c r="Q2" s="1439"/>
      <c r="R2" s="1439"/>
      <c r="S2" s="1439"/>
      <c r="T2" s="1439"/>
      <c r="U2" s="1439"/>
      <c r="V2" s="1439"/>
      <c r="W2" s="1439"/>
      <c r="X2" s="1439"/>
      <c r="Y2" s="1439"/>
      <c r="Z2" s="1439"/>
      <c r="AA2" s="1439"/>
      <c r="AB2" s="1439"/>
      <c r="AC2" s="1439"/>
      <c r="AD2" s="1439"/>
      <c r="AE2" s="1439"/>
    </row>
    <row r="3" spans="1:31" ht="15.75" thickBot="1" x14ac:dyDescent="0.3">
      <c r="A3" s="1440" t="str">
        <f>'1071-MBO'!A3:AB3</f>
        <v>For the Period October 1-31, 2021</v>
      </c>
      <c r="B3" s="1440"/>
      <c r="C3" s="1440"/>
      <c r="D3" s="1440"/>
      <c r="E3" s="1440"/>
      <c r="F3" s="1440"/>
      <c r="G3" s="1440"/>
      <c r="H3" s="1440"/>
      <c r="I3" s="1440"/>
      <c r="J3" s="1440"/>
      <c r="K3" s="1440"/>
      <c r="L3" s="1440"/>
      <c r="M3" s="1440"/>
      <c r="N3" s="1440"/>
      <c r="O3" s="1440"/>
      <c r="P3" s="1440"/>
      <c r="Q3" s="1440"/>
      <c r="R3" s="1440"/>
      <c r="S3" s="1440"/>
      <c r="T3" s="1440"/>
      <c r="U3" s="1440"/>
      <c r="V3" s="1440"/>
      <c r="W3" s="1440"/>
      <c r="X3" s="1440"/>
      <c r="Y3" s="1440"/>
      <c r="Z3" s="1440"/>
      <c r="AA3" s="1440"/>
      <c r="AB3" s="1440"/>
      <c r="AC3" s="1440"/>
      <c r="AD3" s="1440"/>
      <c r="AE3" s="1440"/>
    </row>
    <row r="4" spans="1:31" ht="27" thickTop="1" x14ac:dyDescent="0.25">
      <c r="A4" s="463" t="s">
        <v>347</v>
      </c>
      <c r="B4" s="463" t="s">
        <v>2</v>
      </c>
      <c r="C4" s="463" t="s">
        <v>133</v>
      </c>
      <c r="D4" s="463" t="s">
        <v>1374</v>
      </c>
      <c r="E4" s="463" t="s">
        <v>1374</v>
      </c>
      <c r="F4" s="463" t="s">
        <v>1338</v>
      </c>
      <c r="G4" s="463" t="s">
        <v>1338</v>
      </c>
      <c r="H4" s="463" t="s">
        <v>1324</v>
      </c>
      <c r="I4" s="1073" t="s">
        <v>1204</v>
      </c>
      <c r="J4" s="1073" t="s">
        <v>1204</v>
      </c>
      <c r="K4" s="463" t="s">
        <v>1</v>
      </c>
      <c r="L4" s="463" t="s">
        <v>316</v>
      </c>
      <c r="M4" s="463" t="s">
        <v>314</v>
      </c>
      <c r="N4" s="465" t="s">
        <v>346</v>
      </c>
      <c r="O4" s="519"/>
      <c r="P4" s="519"/>
      <c r="Q4" s="519"/>
      <c r="R4" s="519"/>
      <c r="S4" s="230"/>
      <c r="T4" s="230"/>
      <c r="U4" s="230"/>
      <c r="V4" s="230"/>
      <c r="W4" s="230"/>
      <c r="X4" s="230"/>
      <c r="Y4" s="230"/>
      <c r="Z4" s="230"/>
      <c r="AA4" s="465" t="s">
        <v>316</v>
      </c>
      <c r="AB4" s="465" t="s">
        <v>348</v>
      </c>
      <c r="AC4" s="465" t="s">
        <v>1</v>
      </c>
      <c r="AD4" s="465" t="s">
        <v>131</v>
      </c>
      <c r="AE4" s="1321" t="s">
        <v>131</v>
      </c>
    </row>
    <row r="5" spans="1:31" ht="15.75" thickBot="1" x14ac:dyDescent="0.3">
      <c r="A5" s="469"/>
      <c r="B5" s="469" t="s">
        <v>3</v>
      </c>
      <c r="C5" s="469" t="s">
        <v>134</v>
      </c>
      <c r="D5" s="1272">
        <v>44459</v>
      </c>
      <c r="E5" s="1272" t="s">
        <v>1385</v>
      </c>
      <c r="F5" s="600" t="s">
        <v>1341</v>
      </c>
      <c r="G5" s="600" t="s">
        <v>1341</v>
      </c>
      <c r="H5" s="600" t="s">
        <v>1323</v>
      </c>
      <c r="I5" s="1009" t="s">
        <v>1354</v>
      </c>
      <c r="J5" s="1009" t="s">
        <v>1184</v>
      </c>
      <c r="K5" s="469" t="s">
        <v>314</v>
      </c>
      <c r="L5" s="469" t="s">
        <v>314</v>
      </c>
      <c r="M5" s="469" t="s">
        <v>315</v>
      </c>
      <c r="N5" s="470" t="s">
        <v>315</v>
      </c>
      <c r="O5" s="470" t="s">
        <v>0</v>
      </c>
      <c r="P5" s="470" t="s">
        <v>120</v>
      </c>
      <c r="Q5" s="470" t="s">
        <v>121</v>
      </c>
      <c r="R5" s="470" t="s">
        <v>122</v>
      </c>
      <c r="S5" s="470" t="s">
        <v>123</v>
      </c>
      <c r="T5" s="470" t="s">
        <v>124</v>
      </c>
      <c r="U5" s="470" t="s">
        <v>125</v>
      </c>
      <c r="V5" s="470" t="s">
        <v>126</v>
      </c>
      <c r="W5" s="470" t="s">
        <v>127</v>
      </c>
      <c r="X5" s="470" t="s">
        <v>128</v>
      </c>
      <c r="Y5" s="470" t="s">
        <v>129</v>
      </c>
      <c r="Z5" s="470" t="s">
        <v>130</v>
      </c>
      <c r="AA5" s="470" t="s">
        <v>317</v>
      </c>
      <c r="AB5" s="470" t="s">
        <v>315</v>
      </c>
      <c r="AC5" s="470" t="s">
        <v>317</v>
      </c>
      <c r="AD5" s="470" t="s">
        <v>314</v>
      </c>
      <c r="AE5" s="1322" t="s">
        <v>132</v>
      </c>
    </row>
    <row r="6" spans="1:31" ht="15.75" thickTop="1" x14ac:dyDescent="0.25">
      <c r="A6" s="444" t="s">
        <v>734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9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9"/>
      <c r="AB6" s="269"/>
      <c r="AC6" s="268"/>
      <c r="AD6" s="268"/>
      <c r="AE6" s="1323"/>
    </row>
    <row r="7" spans="1:31" x14ac:dyDescent="0.25">
      <c r="A7" s="109" t="s">
        <v>712</v>
      </c>
      <c r="B7" s="521"/>
      <c r="C7" s="99"/>
      <c r="D7" s="929"/>
      <c r="E7" s="929"/>
      <c r="F7" s="929"/>
      <c r="G7" s="929"/>
      <c r="H7" s="929"/>
      <c r="I7" s="929"/>
      <c r="J7" s="929"/>
      <c r="K7" s="99"/>
      <c r="L7" s="99"/>
      <c r="M7" s="99"/>
      <c r="N7" s="99"/>
      <c r="O7" s="107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107"/>
      <c r="AB7" s="107"/>
      <c r="AC7" s="43"/>
      <c r="AD7" s="43"/>
      <c r="AE7" s="1324"/>
    </row>
    <row r="8" spans="1:31" x14ac:dyDescent="0.25">
      <c r="A8" s="497" t="s">
        <v>660</v>
      </c>
      <c r="B8" s="502" t="s">
        <v>6</v>
      </c>
      <c r="C8" s="40">
        <v>1872627</v>
      </c>
      <c r="D8" s="989">
        <v>41700</v>
      </c>
      <c r="E8" s="989">
        <f>-47905</f>
        <v>-47905</v>
      </c>
      <c r="F8" s="989">
        <v>18525</v>
      </c>
      <c r="G8" s="989">
        <f>-51840</f>
        <v>-51840</v>
      </c>
      <c r="H8" s="989">
        <f>-95810</f>
        <v>-95810</v>
      </c>
      <c r="I8" s="989"/>
      <c r="J8" s="989"/>
      <c r="K8" s="522">
        <f>SUM(C8:J8)</f>
        <v>1737297</v>
      </c>
      <c r="L8" s="522">
        <f>K8/12*9</f>
        <v>1302972.75</v>
      </c>
      <c r="M8" s="522">
        <f>K8/12</f>
        <v>144774.75</v>
      </c>
      <c r="N8" s="43">
        <f>L8+M8</f>
        <v>1447747.5</v>
      </c>
      <c r="O8" s="164">
        <v>104553</v>
      </c>
      <c r="P8" s="164">
        <v>104553</v>
      </c>
      <c r="Q8" s="90">
        <v>104553</v>
      </c>
      <c r="R8" s="90">
        <v>117741</v>
      </c>
      <c r="S8" s="90">
        <v>107850</v>
      </c>
      <c r="T8" s="673">
        <v>107850</v>
      </c>
      <c r="U8" s="90">
        <v>107850</v>
      </c>
      <c r="V8" s="90">
        <v>107850</v>
      </c>
      <c r="W8" s="673">
        <v>107850</v>
      </c>
      <c r="X8" s="90">
        <v>107850</v>
      </c>
      <c r="Y8" s="90"/>
      <c r="Z8" s="90"/>
      <c r="AA8" s="164">
        <f>O8+P8+Q8+R8+S8+T8+U8+V8+W8</f>
        <v>970650</v>
      </c>
      <c r="AB8" s="164">
        <f>X8</f>
        <v>107850</v>
      </c>
      <c r="AC8" s="43">
        <f>AA8+AB8</f>
        <v>1078500</v>
      </c>
      <c r="AD8" s="43">
        <f>N8-AC8</f>
        <v>369247.5</v>
      </c>
      <c r="AE8" s="1325">
        <f>K8-AC8</f>
        <v>658797</v>
      </c>
    </row>
    <row r="9" spans="1:31" hidden="1" x14ac:dyDescent="0.25">
      <c r="A9" s="200" t="s">
        <v>660</v>
      </c>
      <c r="B9" s="502" t="s">
        <v>8</v>
      </c>
      <c r="C9" s="40"/>
      <c r="D9" s="989"/>
      <c r="E9" s="989"/>
      <c r="F9" s="989"/>
      <c r="G9" s="989"/>
      <c r="H9" s="989"/>
      <c r="I9" s="989"/>
      <c r="J9" s="989"/>
      <c r="K9" s="522">
        <f t="shared" ref="K9:K48" si="0">SUM(C9:J9)</f>
        <v>0</v>
      </c>
      <c r="L9" s="522">
        <f t="shared" ref="L9:L10" si="1">K9/12*7</f>
        <v>0</v>
      </c>
      <c r="M9" s="522"/>
      <c r="N9" s="43">
        <f>SUM(C9:M9)</f>
        <v>0</v>
      </c>
      <c r="O9" s="164"/>
      <c r="P9" s="164"/>
      <c r="Q9" s="90"/>
      <c r="R9" s="90"/>
      <c r="S9" s="90"/>
      <c r="T9" s="673"/>
      <c r="U9" s="90"/>
      <c r="V9" s="90"/>
      <c r="W9" s="673"/>
      <c r="X9" s="90"/>
      <c r="Y9" s="90"/>
      <c r="Z9" s="90"/>
      <c r="AA9" s="164">
        <f t="shared" ref="AA9:AA30" si="2">O9+P9+Q9+R9+S9+T9+U9+V9+W9</f>
        <v>0</v>
      </c>
      <c r="AB9" s="164">
        <f t="shared" ref="AB9:AB30" si="3">X9</f>
        <v>0</v>
      </c>
      <c r="AC9" s="43">
        <f>SUM(O9:Z9)</f>
        <v>0</v>
      </c>
      <c r="AD9" s="718">
        <f t="shared" ref="AD9:AD30" si="4">N9-AC9</f>
        <v>0</v>
      </c>
      <c r="AE9" s="1325">
        <f t="shared" ref="AE9:AE30" si="5">K9-AC9</f>
        <v>0</v>
      </c>
    </row>
    <row r="10" spans="1:31" x14ac:dyDescent="0.25">
      <c r="A10" s="511" t="s">
        <v>661</v>
      </c>
      <c r="B10" s="502"/>
      <c r="C10" s="52"/>
      <c r="D10" s="720"/>
      <c r="E10" s="720"/>
      <c r="F10" s="720"/>
      <c r="G10" s="720"/>
      <c r="H10" s="720"/>
      <c r="I10" s="720"/>
      <c r="J10" s="720"/>
      <c r="K10" s="522">
        <f t="shared" si="0"/>
        <v>0</v>
      </c>
      <c r="L10" s="522">
        <f t="shared" si="1"/>
        <v>0</v>
      </c>
      <c r="M10" s="522"/>
      <c r="N10" s="43"/>
      <c r="O10" s="164"/>
      <c r="P10" s="164"/>
      <c r="Q10" s="90"/>
      <c r="R10" s="90"/>
      <c r="S10" s="90"/>
      <c r="T10" s="673"/>
      <c r="U10" s="90"/>
      <c r="V10" s="90"/>
      <c r="W10" s="673"/>
      <c r="X10" s="90"/>
      <c r="Y10" s="90"/>
      <c r="Z10" s="90"/>
      <c r="AA10" s="164">
        <f t="shared" si="2"/>
        <v>0</v>
      </c>
      <c r="AB10" s="164">
        <f t="shared" si="3"/>
        <v>0</v>
      </c>
      <c r="AC10" s="43">
        <f t="shared" ref="AC10:AC20" si="6">AA10+AB10</f>
        <v>0</v>
      </c>
      <c r="AD10" s="718">
        <f t="shared" si="4"/>
        <v>0</v>
      </c>
      <c r="AE10" s="1325">
        <f t="shared" si="5"/>
        <v>0</v>
      </c>
    </row>
    <row r="11" spans="1:31" x14ac:dyDescent="0.25">
      <c r="A11" s="200" t="s">
        <v>662</v>
      </c>
      <c r="B11" s="503" t="s">
        <v>11</v>
      </c>
      <c r="C11" s="52">
        <v>120000</v>
      </c>
      <c r="D11" s="720"/>
      <c r="E11" s="720">
        <f>-4000</f>
        <v>-4000</v>
      </c>
      <c r="F11" s="720">
        <v>0</v>
      </c>
      <c r="G11" s="720">
        <f>-8000</f>
        <v>-8000</v>
      </c>
      <c r="H11" s="720">
        <f>-8000</f>
        <v>-8000</v>
      </c>
      <c r="I11" s="720"/>
      <c r="J11" s="720"/>
      <c r="K11" s="522">
        <f t="shared" si="0"/>
        <v>100000</v>
      </c>
      <c r="L11" s="522">
        <f t="shared" ref="L11:L30" si="7">K11/12*9</f>
        <v>75000</v>
      </c>
      <c r="M11" s="522">
        <f t="shared" ref="M11:M29" si="8">K11/12</f>
        <v>8333.3333333333339</v>
      </c>
      <c r="N11" s="43">
        <f t="shared" ref="N11:N30" si="9">L11+M11</f>
        <v>83333.333333333328</v>
      </c>
      <c r="O11" s="164">
        <v>6000</v>
      </c>
      <c r="P11" s="164">
        <v>6000</v>
      </c>
      <c r="Q11" s="90">
        <v>6000</v>
      </c>
      <c r="R11" s="90">
        <v>6000</v>
      </c>
      <c r="S11" s="90">
        <v>6000</v>
      </c>
      <c r="T11" s="673">
        <v>6000</v>
      </c>
      <c r="U11" s="90">
        <v>6000</v>
      </c>
      <c r="V11" s="90">
        <v>6000</v>
      </c>
      <c r="W11" s="673">
        <v>6000</v>
      </c>
      <c r="X11" s="90">
        <v>6000</v>
      </c>
      <c r="Y11" s="90"/>
      <c r="Z11" s="90"/>
      <c r="AA11" s="164">
        <f t="shared" si="2"/>
        <v>54000</v>
      </c>
      <c r="AB11" s="164">
        <f t="shared" si="3"/>
        <v>6000</v>
      </c>
      <c r="AC11" s="43">
        <f t="shared" si="6"/>
        <v>60000</v>
      </c>
      <c r="AD11" s="718">
        <f t="shared" si="4"/>
        <v>23333.333333333328</v>
      </c>
      <c r="AE11" s="1325">
        <f t="shared" si="5"/>
        <v>40000</v>
      </c>
    </row>
    <row r="12" spans="1:31" x14ac:dyDescent="0.25">
      <c r="A12" s="200" t="s">
        <v>663</v>
      </c>
      <c r="B12" s="502" t="s">
        <v>13</v>
      </c>
      <c r="C12" s="52">
        <v>72000</v>
      </c>
      <c r="D12" s="720"/>
      <c r="E12" s="720"/>
      <c r="F12" s="720">
        <v>0</v>
      </c>
      <c r="G12" s="720"/>
      <c r="H12" s="720">
        <v>0</v>
      </c>
      <c r="I12" s="720"/>
      <c r="J12" s="720"/>
      <c r="K12" s="522">
        <f t="shared" si="0"/>
        <v>72000</v>
      </c>
      <c r="L12" s="522">
        <f t="shared" si="7"/>
        <v>54000</v>
      </c>
      <c r="M12" s="522">
        <f t="shared" si="8"/>
        <v>6000</v>
      </c>
      <c r="N12" s="43">
        <f t="shared" si="9"/>
        <v>60000</v>
      </c>
      <c r="O12" s="164">
        <v>6000</v>
      </c>
      <c r="P12" s="164">
        <v>6000</v>
      </c>
      <c r="Q12" s="90">
        <v>6000</v>
      </c>
      <c r="R12" s="90">
        <v>6000</v>
      </c>
      <c r="S12" s="90">
        <v>6000</v>
      </c>
      <c r="T12" s="673">
        <v>6000</v>
      </c>
      <c r="U12" s="90">
        <v>6000</v>
      </c>
      <c r="V12" s="90">
        <v>6000</v>
      </c>
      <c r="W12" s="673">
        <v>6000</v>
      </c>
      <c r="X12" s="90">
        <v>6000</v>
      </c>
      <c r="Y12" s="90"/>
      <c r="Z12" s="90"/>
      <c r="AA12" s="164">
        <f t="shared" si="2"/>
        <v>54000</v>
      </c>
      <c r="AB12" s="164">
        <f t="shared" si="3"/>
        <v>6000</v>
      </c>
      <c r="AC12" s="43">
        <f t="shared" si="6"/>
        <v>60000</v>
      </c>
      <c r="AD12" s="718">
        <f t="shared" si="4"/>
        <v>0</v>
      </c>
      <c r="AE12" s="1325">
        <f t="shared" si="5"/>
        <v>12000</v>
      </c>
    </row>
    <row r="13" spans="1:31" x14ac:dyDescent="0.25">
      <c r="A13" s="200" t="s">
        <v>664</v>
      </c>
      <c r="B13" s="504" t="s">
        <v>15</v>
      </c>
      <c r="C13" s="52">
        <v>72000</v>
      </c>
      <c r="D13" s="720"/>
      <c r="E13" s="720"/>
      <c r="F13" s="720">
        <v>0</v>
      </c>
      <c r="G13" s="720"/>
      <c r="H13" s="720">
        <v>0</v>
      </c>
      <c r="I13" s="720"/>
      <c r="J13" s="720"/>
      <c r="K13" s="522">
        <f t="shared" si="0"/>
        <v>72000</v>
      </c>
      <c r="L13" s="522">
        <f t="shared" si="7"/>
        <v>54000</v>
      </c>
      <c r="M13" s="522">
        <f t="shared" si="8"/>
        <v>6000</v>
      </c>
      <c r="N13" s="43">
        <f t="shared" si="9"/>
        <v>60000</v>
      </c>
      <c r="O13" s="164">
        <v>6000</v>
      </c>
      <c r="P13" s="164">
        <v>6000</v>
      </c>
      <c r="Q13" s="90">
        <v>6000</v>
      </c>
      <c r="R13" s="90">
        <v>6000</v>
      </c>
      <c r="S13" s="90">
        <v>6000</v>
      </c>
      <c r="T13" s="673">
        <v>6000</v>
      </c>
      <c r="U13" s="90">
        <v>6000</v>
      </c>
      <c r="V13" s="90">
        <v>6000</v>
      </c>
      <c r="W13" s="673">
        <v>6000</v>
      </c>
      <c r="X13" s="90">
        <v>6000</v>
      </c>
      <c r="Y13" s="90"/>
      <c r="Z13" s="90"/>
      <c r="AA13" s="164">
        <f t="shared" si="2"/>
        <v>54000</v>
      </c>
      <c r="AB13" s="164">
        <f t="shared" si="3"/>
        <v>6000</v>
      </c>
      <c r="AC13" s="43">
        <f t="shared" si="6"/>
        <v>60000</v>
      </c>
      <c r="AD13" s="718">
        <f t="shared" si="4"/>
        <v>0</v>
      </c>
      <c r="AE13" s="1325">
        <f t="shared" si="5"/>
        <v>12000</v>
      </c>
    </row>
    <row r="14" spans="1:31" x14ac:dyDescent="0.25">
      <c r="A14" s="200" t="s">
        <v>665</v>
      </c>
      <c r="B14" s="503" t="s">
        <v>17</v>
      </c>
      <c r="C14" s="52">
        <v>30000</v>
      </c>
      <c r="D14" s="720"/>
      <c r="E14" s="720"/>
      <c r="F14" s="720">
        <v>0</v>
      </c>
      <c r="G14" s="720"/>
      <c r="H14" s="720"/>
      <c r="I14" s="720"/>
      <c r="J14" s="720"/>
      <c r="K14" s="522">
        <f t="shared" si="0"/>
        <v>30000</v>
      </c>
      <c r="L14" s="522">
        <f>K14/12*11</f>
        <v>27500</v>
      </c>
      <c r="M14" s="522">
        <f t="shared" si="8"/>
        <v>2500</v>
      </c>
      <c r="N14" s="43">
        <f t="shared" si="9"/>
        <v>30000</v>
      </c>
      <c r="O14" s="164">
        <v>12000</v>
      </c>
      <c r="P14" s="90"/>
      <c r="Q14" s="90"/>
      <c r="R14" s="90"/>
      <c r="S14" s="90"/>
      <c r="T14" s="90"/>
      <c r="U14" s="90"/>
      <c r="V14" s="90"/>
      <c r="W14" s="673"/>
      <c r="X14" s="90">
        <v>2475</v>
      </c>
      <c r="Y14" s="90"/>
      <c r="Z14" s="90"/>
      <c r="AA14" s="164">
        <f t="shared" si="2"/>
        <v>12000</v>
      </c>
      <c r="AB14" s="164">
        <f t="shared" si="3"/>
        <v>2475</v>
      </c>
      <c r="AC14" s="43">
        <f t="shared" si="6"/>
        <v>14475</v>
      </c>
      <c r="AD14" s="718">
        <f t="shared" si="4"/>
        <v>15525</v>
      </c>
      <c r="AE14" s="1325">
        <f t="shared" si="5"/>
        <v>15525</v>
      </c>
    </row>
    <row r="15" spans="1:31" x14ac:dyDescent="0.25">
      <c r="A15" s="200" t="s">
        <v>666</v>
      </c>
      <c r="B15" s="503" t="s">
        <v>21</v>
      </c>
      <c r="C15" s="52"/>
      <c r="D15" s="720"/>
      <c r="E15" s="720"/>
      <c r="F15" s="720"/>
      <c r="G15" s="720"/>
      <c r="H15" s="720"/>
      <c r="I15" s="720"/>
      <c r="J15" s="720"/>
      <c r="K15" s="522">
        <f t="shared" si="0"/>
        <v>0</v>
      </c>
      <c r="L15" s="522">
        <f t="shared" si="7"/>
        <v>0</v>
      </c>
      <c r="M15" s="522">
        <f t="shared" si="8"/>
        <v>0</v>
      </c>
      <c r="N15" s="43">
        <f t="shared" si="9"/>
        <v>0</v>
      </c>
      <c r="O15" s="164"/>
      <c r="P15" s="1170"/>
      <c r="Q15" s="90"/>
      <c r="R15" s="90"/>
      <c r="S15" s="90"/>
      <c r="T15" s="90"/>
      <c r="U15" s="90"/>
      <c r="V15" s="90"/>
      <c r="W15" s="673"/>
      <c r="X15" s="90"/>
      <c r="Y15" s="90"/>
      <c r="Z15" s="90"/>
      <c r="AA15" s="164">
        <f t="shared" si="2"/>
        <v>0</v>
      </c>
      <c r="AB15" s="164">
        <f t="shared" si="3"/>
        <v>0</v>
      </c>
      <c r="AC15" s="43">
        <f t="shared" si="6"/>
        <v>0</v>
      </c>
      <c r="AD15" s="718">
        <f t="shared" si="4"/>
        <v>0</v>
      </c>
      <c r="AE15" s="1325">
        <f t="shared" si="5"/>
        <v>0</v>
      </c>
    </row>
    <row r="16" spans="1:31" x14ac:dyDescent="0.25">
      <c r="A16" s="200" t="s">
        <v>715</v>
      </c>
      <c r="B16" s="503" t="s">
        <v>243</v>
      </c>
      <c r="C16" s="720">
        <v>60000</v>
      </c>
      <c r="D16" s="720"/>
      <c r="E16" s="720"/>
      <c r="F16" s="720"/>
      <c r="G16" s="720"/>
      <c r="H16" s="989"/>
      <c r="I16" s="989"/>
      <c r="J16" s="989"/>
      <c r="K16" s="522">
        <f t="shared" si="0"/>
        <v>60000</v>
      </c>
      <c r="L16" s="522">
        <f t="shared" si="7"/>
        <v>45000</v>
      </c>
      <c r="M16" s="522">
        <f t="shared" si="8"/>
        <v>5000</v>
      </c>
      <c r="N16" s="718">
        <f t="shared" si="9"/>
        <v>50000</v>
      </c>
      <c r="O16" s="164"/>
      <c r="P16" s="1068">
        <v>18315.02</v>
      </c>
      <c r="Q16" s="90"/>
      <c r="R16" s="90"/>
      <c r="S16" s="90"/>
      <c r="T16" s="90"/>
      <c r="U16" s="90"/>
      <c r="V16" s="90">
        <v>4541.8999999999996</v>
      </c>
      <c r="W16" s="673"/>
      <c r="X16" s="90"/>
      <c r="Y16" s="90"/>
      <c r="Z16" s="90"/>
      <c r="AA16" s="164">
        <f t="shared" si="2"/>
        <v>22856.92</v>
      </c>
      <c r="AB16" s="164">
        <f t="shared" si="3"/>
        <v>0</v>
      </c>
      <c r="AC16" s="43">
        <f t="shared" si="6"/>
        <v>22856.92</v>
      </c>
      <c r="AD16" s="718">
        <f t="shared" si="4"/>
        <v>27143.08</v>
      </c>
      <c r="AE16" s="1325">
        <f t="shared" si="5"/>
        <v>37143.08</v>
      </c>
    </row>
    <row r="17" spans="1:31" x14ac:dyDescent="0.25">
      <c r="A17" s="200" t="s">
        <v>667</v>
      </c>
      <c r="B17" s="502" t="s">
        <v>23</v>
      </c>
      <c r="C17" s="989">
        <v>156944</v>
      </c>
      <c r="D17" s="989">
        <v>13900</v>
      </c>
      <c r="E17" s="989"/>
      <c r="F17" s="989">
        <v>3705</v>
      </c>
      <c r="G17" s="989"/>
      <c r="H17" s="720"/>
      <c r="I17" s="720"/>
      <c r="J17" s="720"/>
      <c r="K17" s="522">
        <f t="shared" si="0"/>
        <v>174549</v>
      </c>
      <c r="L17" s="522">
        <f t="shared" si="7"/>
        <v>130911.75</v>
      </c>
      <c r="M17" s="522">
        <f t="shared" si="8"/>
        <v>14545.75</v>
      </c>
      <c r="N17" s="718">
        <f t="shared" si="9"/>
        <v>145457.5</v>
      </c>
      <c r="O17" s="164"/>
      <c r="P17" s="90"/>
      <c r="Q17" s="90"/>
      <c r="R17" s="90"/>
      <c r="S17" s="90"/>
      <c r="T17" s="90"/>
      <c r="U17" s="90"/>
      <c r="V17" s="90"/>
      <c r="W17" s="673"/>
      <c r="X17" s="90"/>
      <c r="Y17" s="90"/>
      <c r="Z17" s="90"/>
      <c r="AA17" s="164">
        <f t="shared" si="2"/>
        <v>0</v>
      </c>
      <c r="AB17" s="164">
        <f t="shared" si="3"/>
        <v>0</v>
      </c>
      <c r="AC17" s="43">
        <f t="shared" si="6"/>
        <v>0</v>
      </c>
      <c r="AD17" s="718">
        <f t="shared" si="4"/>
        <v>145457.5</v>
      </c>
      <c r="AE17" s="1325">
        <f t="shared" si="5"/>
        <v>174549</v>
      </c>
    </row>
    <row r="18" spans="1:31" x14ac:dyDescent="0.25">
      <c r="A18" s="200" t="s">
        <v>668</v>
      </c>
      <c r="B18" s="502" t="s">
        <v>26</v>
      </c>
      <c r="C18" s="720">
        <v>25000</v>
      </c>
      <c r="D18" s="720"/>
      <c r="E18" s="720"/>
      <c r="F18" s="720"/>
      <c r="G18" s="720"/>
      <c r="H18" s="989"/>
      <c r="I18" s="989"/>
      <c r="J18" s="989"/>
      <c r="K18" s="522">
        <f t="shared" si="0"/>
        <v>25000</v>
      </c>
      <c r="L18" s="522">
        <f t="shared" si="7"/>
        <v>18750</v>
      </c>
      <c r="M18" s="522">
        <f t="shared" si="8"/>
        <v>2083.3333333333335</v>
      </c>
      <c r="N18" s="718">
        <f t="shared" si="9"/>
        <v>20833.333333333332</v>
      </c>
      <c r="O18" s="164"/>
      <c r="P18" s="90"/>
      <c r="Q18" s="90"/>
      <c r="R18" s="90"/>
      <c r="S18" s="90"/>
      <c r="T18" s="90"/>
      <c r="U18" s="90"/>
      <c r="V18" s="90"/>
      <c r="W18" s="673"/>
      <c r="X18" s="90"/>
      <c r="Y18" s="90"/>
      <c r="Z18" s="90"/>
      <c r="AA18" s="164">
        <f t="shared" si="2"/>
        <v>0</v>
      </c>
      <c r="AB18" s="164">
        <f t="shared" si="3"/>
        <v>0</v>
      </c>
      <c r="AC18" s="43">
        <f t="shared" si="6"/>
        <v>0</v>
      </c>
      <c r="AD18" s="718">
        <f t="shared" si="4"/>
        <v>20833.333333333332</v>
      </c>
      <c r="AE18" s="1325">
        <f t="shared" si="5"/>
        <v>25000</v>
      </c>
    </row>
    <row r="19" spans="1:31" x14ac:dyDescent="0.25">
      <c r="A19" s="455" t="s">
        <v>669</v>
      </c>
      <c r="B19" s="502" t="s">
        <v>27</v>
      </c>
      <c r="C19" s="40"/>
      <c r="D19" s="989"/>
      <c r="E19" s="989"/>
      <c r="F19" s="989"/>
      <c r="G19" s="989"/>
      <c r="H19" s="989"/>
      <c r="I19" s="989"/>
      <c r="J19" s="989"/>
      <c r="K19" s="522">
        <f t="shared" si="0"/>
        <v>0</v>
      </c>
      <c r="L19" s="522">
        <f t="shared" si="7"/>
        <v>0</v>
      </c>
      <c r="M19" s="522">
        <f t="shared" si="8"/>
        <v>0</v>
      </c>
      <c r="N19" s="718">
        <f t="shared" si="9"/>
        <v>0</v>
      </c>
      <c r="O19" s="164"/>
      <c r="P19" s="90"/>
      <c r="Q19" s="90"/>
      <c r="R19" s="90"/>
      <c r="S19" s="90"/>
      <c r="T19" s="90"/>
      <c r="U19" s="90"/>
      <c r="V19" s="90"/>
      <c r="W19" s="673"/>
      <c r="X19" s="90"/>
      <c r="Y19" s="90"/>
      <c r="Z19" s="90"/>
      <c r="AA19" s="164">
        <f t="shared" si="2"/>
        <v>0</v>
      </c>
      <c r="AB19" s="164">
        <f t="shared" si="3"/>
        <v>0</v>
      </c>
      <c r="AC19" s="43">
        <f t="shared" si="6"/>
        <v>0</v>
      </c>
      <c r="AD19" s="718">
        <f t="shared" si="4"/>
        <v>0</v>
      </c>
      <c r="AE19" s="1325">
        <f t="shared" si="5"/>
        <v>0</v>
      </c>
    </row>
    <row r="20" spans="1:31" x14ac:dyDescent="0.25">
      <c r="A20" s="291" t="s">
        <v>670</v>
      </c>
      <c r="B20" s="502"/>
      <c r="C20" s="989">
        <v>155755</v>
      </c>
      <c r="D20" s="989"/>
      <c r="E20" s="989"/>
      <c r="F20" s="989"/>
      <c r="G20" s="989"/>
      <c r="H20" s="720"/>
      <c r="I20" s="720"/>
      <c r="J20" s="720"/>
      <c r="K20" s="522">
        <f t="shared" si="0"/>
        <v>155755</v>
      </c>
      <c r="L20" s="522">
        <f t="shared" si="7"/>
        <v>116816.25</v>
      </c>
      <c r="M20" s="522">
        <f t="shared" si="8"/>
        <v>12979.583333333334</v>
      </c>
      <c r="N20" s="718">
        <f t="shared" si="9"/>
        <v>129795.83333333333</v>
      </c>
      <c r="O20" s="164"/>
      <c r="P20" s="90"/>
      <c r="Q20" s="90"/>
      <c r="R20" s="90"/>
      <c r="S20" s="90">
        <v>107850</v>
      </c>
      <c r="T20" s="90"/>
      <c r="U20" s="90"/>
      <c r="V20" s="90"/>
      <c r="W20" s="673"/>
      <c r="X20" s="90"/>
      <c r="Y20" s="90"/>
      <c r="Z20" s="90"/>
      <c r="AA20" s="164">
        <f t="shared" si="2"/>
        <v>107850</v>
      </c>
      <c r="AB20" s="164">
        <f t="shared" si="3"/>
        <v>0</v>
      </c>
      <c r="AC20" s="43">
        <f t="shared" si="6"/>
        <v>107850</v>
      </c>
      <c r="AD20" s="718">
        <f t="shared" si="4"/>
        <v>21945.833333333328</v>
      </c>
      <c r="AE20" s="1325">
        <f t="shared" si="5"/>
        <v>47905</v>
      </c>
    </row>
    <row r="21" spans="1:31" x14ac:dyDescent="0.25">
      <c r="A21" s="291" t="s">
        <v>671</v>
      </c>
      <c r="B21" s="521"/>
      <c r="C21" s="720">
        <v>25000</v>
      </c>
      <c r="D21" s="720"/>
      <c r="E21" s="720"/>
      <c r="F21" s="720"/>
      <c r="G21" s="720"/>
      <c r="H21" s="720"/>
      <c r="I21" s="720"/>
      <c r="J21" s="720"/>
      <c r="K21" s="522">
        <f t="shared" si="0"/>
        <v>25000</v>
      </c>
      <c r="L21" s="522">
        <f t="shared" si="7"/>
        <v>18750</v>
      </c>
      <c r="M21" s="522">
        <f t="shared" si="8"/>
        <v>2083.3333333333335</v>
      </c>
      <c r="N21" s="718">
        <f t="shared" si="9"/>
        <v>20833.333333333332</v>
      </c>
      <c r="O21" s="164"/>
      <c r="P21" s="90"/>
      <c r="Q21" s="90"/>
      <c r="R21" s="90"/>
      <c r="S21" s="90"/>
      <c r="T21" s="90"/>
      <c r="U21" s="90"/>
      <c r="V21" s="90"/>
      <c r="W21" s="673"/>
      <c r="X21" s="90"/>
      <c r="Y21" s="90"/>
      <c r="Z21" s="90"/>
      <c r="AA21" s="164">
        <f t="shared" si="2"/>
        <v>0</v>
      </c>
      <c r="AB21" s="164">
        <f t="shared" si="3"/>
        <v>0</v>
      </c>
      <c r="AC21" s="43">
        <f t="shared" ref="AC21:AC30" si="10">AA21+AB21</f>
        <v>0</v>
      </c>
      <c r="AD21" s="718">
        <f t="shared" si="4"/>
        <v>20833.333333333332</v>
      </c>
      <c r="AE21" s="1325">
        <f t="shared" si="5"/>
        <v>25000</v>
      </c>
    </row>
    <row r="22" spans="1:31" x14ac:dyDescent="0.25">
      <c r="A22" s="291" t="s">
        <v>725</v>
      </c>
      <c r="B22" s="521"/>
      <c r="C22" s="52"/>
      <c r="D22" s="720"/>
      <c r="E22" s="720"/>
      <c r="F22" s="720"/>
      <c r="G22" s="720"/>
      <c r="H22" s="720"/>
      <c r="I22" s="720"/>
      <c r="J22" s="720"/>
      <c r="K22" s="522">
        <f t="shared" si="0"/>
        <v>0</v>
      </c>
      <c r="L22" s="522">
        <f t="shared" si="7"/>
        <v>0</v>
      </c>
      <c r="M22" s="522">
        <f t="shared" si="8"/>
        <v>0</v>
      </c>
      <c r="N22" s="718">
        <f t="shared" si="9"/>
        <v>0</v>
      </c>
      <c r="O22" s="164"/>
      <c r="P22" s="90"/>
      <c r="Q22" s="90"/>
      <c r="R22" s="90"/>
      <c r="S22" s="90"/>
      <c r="T22" s="90"/>
      <c r="U22" s="90"/>
      <c r="V22" s="90"/>
      <c r="W22" s="673"/>
      <c r="X22" s="90"/>
      <c r="Y22" s="90"/>
      <c r="Z22" s="90"/>
      <c r="AA22" s="164">
        <f t="shared" si="2"/>
        <v>0</v>
      </c>
      <c r="AB22" s="164">
        <f t="shared" si="3"/>
        <v>0</v>
      </c>
      <c r="AC22" s="43">
        <f t="shared" si="10"/>
        <v>0</v>
      </c>
      <c r="AD22" s="718">
        <f t="shared" si="4"/>
        <v>0</v>
      </c>
      <c r="AE22" s="1325">
        <f t="shared" si="5"/>
        <v>0</v>
      </c>
    </row>
    <row r="23" spans="1:31" x14ac:dyDescent="0.25">
      <c r="A23" s="537" t="s">
        <v>673</v>
      </c>
      <c r="B23" s="521"/>
      <c r="C23" s="52"/>
      <c r="D23" s="720"/>
      <c r="E23" s="720"/>
      <c r="F23" s="720"/>
      <c r="G23" s="720"/>
      <c r="H23" s="720"/>
      <c r="I23" s="720"/>
      <c r="J23" s="720"/>
      <c r="K23" s="522">
        <f t="shared" si="0"/>
        <v>0</v>
      </c>
      <c r="L23" s="522">
        <f t="shared" si="7"/>
        <v>0</v>
      </c>
      <c r="M23" s="522">
        <f t="shared" si="8"/>
        <v>0</v>
      </c>
      <c r="N23" s="718">
        <f t="shared" si="9"/>
        <v>0</v>
      </c>
      <c r="O23" s="164"/>
      <c r="P23" s="90"/>
      <c r="Q23" s="90"/>
      <c r="R23" s="90"/>
      <c r="S23" s="90"/>
      <c r="T23" s="90"/>
      <c r="U23" s="90"/>
      <c r="V23" s="90"/>
      <c r="W23" s="673"/>
      <c r="X23" s="90"/>
      <c r="Y23" s="90"/>
      <c r="Z23" s="90"/>
      <c r="AA23" s="164">
        <f t="shared" si="2"/>
        <v>0</v>
      </c>
      <c r="AB23" s="164">
        <f t="shared" si="3"/>
        <v>0</v>
      </c>
      <c r="AC23" s="43">
        <f t="shared" si="10"/>
        <v>0</v>
      </c>
      <c r="AD23" s="718">
        <f t="shared" si="4"/>
        <v>0</v>
      </c>
      <c r="AE23" s="1325">
        <f t="shared" si="5"/>
        <v>0</v>
      </c>
    </row>
    <row r="24" spans="1:31" x14ac:dyDescent="0.25">
      <c r="A24" s="537" t="s">
        <v>674</v>
      </c>
      <c r="B24" s="521"/>
      <c r="C24" s="52"/>
      <c r="D24" s="720"/>
      <c r="E24" s="720"/>
      <c r="F24" s="720"/>
      <c r="G24" s="720"/>
      <c r="H24" s="720"/>
      <c r="I24" s="720"/>
      <c r="J24" s="720"/>
      <c r="K24" s="522">
        <f t="shared" si="0"/>
        <v>0</v>
      </c>
      <c r="L24" s="522">
        <f t="shared" si="7"/>
        <v>0</v>
      </c>
      <c r="M24" s="522">
        <f t="shared" si="8"/>
        <v>0</v>
      </c>
      <c r="N24" s="718">
        <f t="shared" si="9"/>
        <v>0</v>
      </c>
      <c r="O24" s="164"/>
      <c r="P24" s="90"/>
      <c r="Q24" s="90"/>
      <c r="R24" s="90"/>
      <c r="S24" s="90"/>
      <c r="T24" s="90"/>
      <c r="U24" s="90"/>
      <c r="V24" s="90"/>
      <c r="W24" s="673"/>
      <c r="X24" s="90"/>
      <c r="Y24" s="90"/>
      <c r="Z24" s="90"/>
      <c r="AA24" s="164">
        <f t="shared" si="2"/>
        <v>0</v>
      </c>
      <c r="AB24" s="164">
        <f t="shared" si="3"/>
        <v>0</v>
      </c>
      <c r="AC24" s="43">
        <f t="shared" si="10"/>
        <v>0</v>
      </c>
      <c r="AD24" s="718">
        <f t="shared" si="4"/>
        <v>0</v>
      </c>
      <c r="AE24" s="1325">
        <f t="shared" si="5"/>
        <v>0</v>
      </c>
    </row>
    <row r="25" spans="1:31" x14ac:dyDescent="0.25">
      <c r="A25" s="455" t="s">
        <v>370</v>
      </c>
      <c r="B25" s="521"/>
      <c r="C25" s="52"/>
      <c r="D25" s="720"/>
      <c r="E25" s="720"/>
      <c r="F25" s="720"/>
      <c r="G25" s="720"/>
      <c r="H25" s="720"/>
      <c r="I25" s="720"/>
      <c r="J25" s="720"/>
      <c r="K25" s="522">
        <f t="shared" si="0"/>
        <v>0</v>
      </c>
      <c r="L25" s="522">
        <f t="shared" si="7"/>
        <v>0</v>
      </c>
      <c r="M25" s="522">
        <f t="shared" si="8"/>
        <v>0</v>
      </c>
      <c r="N25" s="718">
        <f t="shared" si="9"/>
        <v>0</v>
      </c>
      <c r="O25" s="164"/>
      <c r="P25" s="90"/>
      <c r="Q25" s="90"/>
      <c r="R25" s="90"/>
      <c r="S25" s="90"/>
      <c r="T25" s="90"/>
      <c r="U25" s="90"/>
      <c r="V25" s="90"/>
      <c r="W25" s="673"/>
      <c r="X25" s="90"/>
      <c r="Y25" s="90"/>
      <c r="Z25" s="90"/>
      <c r="AA25" s="164">
        <f t="shared" si="2"/>
        <v>0</v>
      </c>
      <c r="AB25" s="164">
        <f t="shared" si="3"/>
        <v>0</v>
      </c>
      <c r="AC25" s="43">
        <f t="shared" si="10"/>
        <v>0</v>
      </c>
      <c r="AD25" s="718">
        <f t="shared" si="4"/>
        <v>0</v>
      </c>
      <c r="AE25" s="1325">
        <f t="shared" si="5"/>
        <v>0</v>
      </c>
    </row>
    <row r="26" spans="1:31" x14ac:dyDescent="0.25">
      <c r="A26" s="200" t="s">
        <v>675</v>
      </c>
      <c r="B26" s="502" t="s">
        <v>29</v>
      </c>
      <c r="C26" s="52">
        <v>224715.24</v>
      </c>
      <c r="D26" s="720">
        <v>5004</v>
      </c>
      <c r="E26" s="720">
        <f>-5748.6</f>
        <v>-5748.6</v>
      </c>
      <c r="F26" s="720">
        <v>2223</v>
      </c>
      <c r="G26" s="720">
        <f>-6220.8</f>
        <v>-6220.8</v>
      </c>
      <c r="H26" s="720">
        <f>-11497.2</f>
        <v>-11497.2</v>
      </c>
      <c r="I26" s="720"/>
      <c r="J26" s="720"/>
      <c r="K26" s="522">
        <f t="shared" si="0"/>
        <v>208475.63999999998</v>
      </c>
      <c r="L26" s="522">
        <f t="shared" si="7"/>
        <v>156356.72999999998</v>
      </c>
      <c r="M26" s="522">
        <f t="shared" si="8"/>
        <v>17372.969999999998</v>
      </c>
      <c r="N26" s="718">
        <f t="shared" si="9"/>
        <v>173729.69999999998</v>
      </c>
      <c r="O26" s="776">
        <v>12546.36</v>
      </c>
      <c r="P26" s="776">
        <v>12546.36</v>
      </c>
      <c r="Q26" s="1083">
        <v>12546.36</v>
      </c>
      <c r="R26" s="90">
        <v>14128.92</v>
      </c>
      <c r="S26" s="1161">
        <v>13942</v>
      </c>
      <c r="T26" s="1170">
        <v>12942</v>
      </c>
      <c r="U26" s="1170">
        <v>12942</v>
      </c>
      <c r="V26" s="1253">
        <v>12942</v>
      </c>
      <c r="W26" s="1257">
        <v>12942</v>
      </c>
      <c r="X26" s="1286">
        <v>12942</v>
      </c>
      <c r="Y26" s="90"/>
      <c r="Z26" s="90"/>
      <c r="AA26" s="164">
        <f t="shared" si="2"/>
        <v>117478</v>
      </c>
      <c r="AB26" s="164">
        <f t="shared" si="3"/>
        <v>12942</v>
      </c>
      <c r="AC26" s="43">
        <f t="shared" si="10"/>
        <v>130420</v>
      </c>
      <c r="AD26" s="718">
        <f t="shared" si="4"/>
        <v>43309.699999999983</v>
      </c>
      <c r="AE26" s="1325">
        <f t="shared" si="5"/>
        <v>78055.639999999985</v>
      </c>
    </row>
    <row r="27" spans="1:31" x14ac:dyDescent="0.25">
      <c r="A27" s="200" t="s">
        <v>676</v>
      </c>
      <c r="B27" s="502" t="s">
        <v>31</v>
      </c>
      <c r="C27" s="52">
        <v>37452.54</v>
      </c>
      <c r="D27" s="720">
        <v>0</v>
      </c>
      <c r="E27" s="720">
        <f>-958.1</f>
        <v>-958.1</v>
      </c>
      <c r="F27" s="720">
        <v>370.5</v>
      </c>
      <c r="G27" s="720"/>
      <c r="H27" s="720">
        <f>-1916.2</f>
        <v>-1916.2</v>
      </c>
      <c r="I27" s="720"/>
      <c r="J27" s="720"/>
      <c r="K27" s="522">
        <f t="shared" si="0"/>
        <v>34948.740000000005</v>
      </c>
      <c r="L27" s="522">
        <f t="shared" si="7"/>
        <v>26211.555000000004</v>
      </c>
      <c r="M27" s="522">
        <f t="shared" si="8"/>
        <v>2912.3950000000004</v>
      </c>
      <c r="N27" s="718">
        <f t="shared" si="9"/>
        <v>29123.950000000004</v>
      </c>
      <c r="O27" s="776">
        <v>2091.06</v>
      </c>
      <c r="P27" s="776">
        <v>2091.06</v>
      </c>
      <c r="Q27" s="1083">
        <v>2091.06</v>
      </c>
      <c r="R27" s="90">
        <v>2354.8200000000002</v>
      </c>
      <c r="S27" s="1161">
        <v>2157</v>
      </c>
      <c r="T27" s="1170">
        <v>2157</v>
      </c>
      <c r="U27" s="1170">
        <v>2157</v>
      </c>
      <c r="V27" s="1253">
        <v>2157</v>
      </c>
      <c r="W27" s="1257">
        <v>2157</v>
      </c>
      <c r="X27" s="1286">
        <v>2157</v>
      </c>
      <c r="Y27" s="90"/>
      <c r="Z27" s="90"/>
      <c r="AA27" s="164">
        <f t="shared" si="2"/>
        <v>19413</v>
      </c>
      <c r="AB27" s="164">
        <f t="shared" si="3"/>
        <v>2157</v>
      </c>
      <c r="AC27" s="43">
        <f t="shared" si="10"/>
        <v>21570</v>
      </c>
      <c r="AD27" s="718">
        <f t="shared" si="4"/>
        <v>7553.9500000000044</v>
      </c>
      <c r="AE27" s="1325">
        <f t="shared" si="5"/>
        <v>13378.740000000005</v>
      </c>
    </row>
    <row r="28" spans="1:31" x14ac:dyDescent="0.25">
      <c r="A28" s="200" t="s">
        <v>677</v>
      </c>
      <c r="B28" s="502" t="s">
        <v>33</v>
      </c>
      <c r="C28" s="52">
        <v>32110.68</v>
      </c>
      <c r="D28" s="720">
        <v>834</v>
      </c>
      <c r="E28" s="720">
        <f>-838.34</f>
        <v>-838.34</v>
      </c>
      <c r="F28" s="720">
        <v>324.19</v>
      </c>
      <c r="G28" s="720"/>
      <c r="H28" s="720">
        <f>-1676.68</f>
        <v>-1676.68</v>
      </c>
      <c r="I28" s="720"/>
      <c r="J28" s="720"/>
      <c r="K28" s="522">
        <f t="shared" si="0"/>
        <v>30753.85</v>
      </c>
      <c r="L28" s="522">
        <f t="shared" si="7"/>
        <v>23065.387499999997</v>
      </c>
      <c r="M28" s="522">
        <f t="shared" si="8"/>
        <v>2562.8208333333332</v>
      </c>
      <c r="N28" s="718">
        <f t="shared" si="9"/>
        <v>25628.208333333328</v>
      </c>
      <c r="O28" s="776">
        <v>1396.61</v>
      </c>
      <c r="P28" s="776">
        <v>1396.61</v>
      </c>
      <c r="Q28" s="1083">
        <v>1396.61</v>
      </c>
      <c r="R28" s="90">
        <v>1425.05</v>
      </c>
      <c r="S28" s="1161">
        <v>1425.05</v>
      </c>
      <c r="T28" s="1170">
        <v>1425.05</v>
      </c>
      <c r="U28" s="1170">
        <v>1425.05</v>
      </c>
      <c r="V28" s="1253">
        <v>1425.05</v>
      </c>
      <c r="W28" s="1257">
        <v>1425.05</v>
      </c>
      <c r="X28" s="1286">
        <v>1425.05</v>
      </c>
      <c r="Y28" s="90"/>
      <c r="Z28" s="90"/>
      <c r="AA28" s="164">
        <f t="shared" si="2"/>
        <v>12740.129999999997</v>
      </c>
      <c r="AB28" s="164">
        <f t="shared" si="3"/>
        <v>1425.05</v>
      </c>
      <c r="AC28" s="43">
        <f t="shared" si="10"/>
        <v>14165.179999999997</v>
      </c>
      <c r="AD28" s="718">
        <f t="shared" si="4"/>
        <v>11463.028333333332</v>
      </c>
      <c r="AE28" s="1325">
        <f t="shared" si="5"/>
        <v>16588.670000000002</v>
      </c>
    </row>
    <row r="29" spans="1:31" x14ac:dyDescent="0.25">
      <c r="A29" s="456" t="s">
        <v>678</v>
      </c>
      <c r="B29" s="502" t="s">
        <v>35</v>
      </c>
      <c r="C29" s="52">
        <v>6000</v>
      </c>
      <c r="D29" s="720">
        <v>729.75</v>
      </c>
      <c r="E29" s="720"/>
      <c r="F29" s="720"/>
      <c r="G29" s="720"/>
      <c r="H29" s="720"/>
      <c r="I29" s="720"/>
      <c r="J29" s="720"/>
      <c r="K29" s="522">
        <f t="shared" si="0"/>
        <v>6729.75</v>
      </c>
      <c r="L29" s="522">
        <f t="shared" si="7"/>
        <v>5047.3125</v>
      </c>
      <c r="M29" s="522">
        <f t="shared" si="8"/>
        <v>560.8125</v>
      </c>
      <c r="N29" s="718">
        <f t="shared" si="9"/>
        <v>5608.125</v>
      </c>
      <c r="O29" s="776">
        <v>300</v>
      </c>
      <c r="P29" s="776">
        <v>300</v>
      </c>
      <c r="Q29" s="1083">
        <v>300</v>
      </c>
      <c r="R29" s="90">
        <v>300</v>
      </c>
      <c r="S29" s="1161">
        <v>300</v>
      </c>
      <c r="T29" s="1170">
        <v>300</v>
      </c>
      <c r="U29" s="1170">
        <v>300</v>
      </c>
      <c r="V29" s="1253">
        <v>300</v>
      </c>
      <c r="W29" s="1257">
        <v>300</v>
      </c>
      <c r="X29" s="1286">
        <v>300</v>
      </c>
      <c r="Y29" s="90"/>
      <c r="Z29" s="90"/>
      <c r="AA29" s="164">
        <f t="shared" si="2"/>
        <v>2700</v>
      </c>
      <c r="AB29" s="164">
        <f t="shared" si="3"/>
        <v>300</v>
      </c>
      <c r="AC29" s="43">
        <f t="shared" si="10"/>
        <v>3000</v>
      </c>
      <c r="AD29" s="718">
        <f t="shared" si="4"/>
        <v>2608.125</v>
      </c>
      <c r="AE29" s="1325">
        <f t="shared" si="5"/>
        <v>3729.75</v>
      </c>
    </row>
    <row r="30" spans="1:31" ht="12" customHeight="1" x14ac:dyDescent="0.25">
      <c r="A30" s="45"/>
      <c r="B30" s="168"/>
      <c r="C30" s="522"/>
      <c r="D30" s="522"/>
      <c r="E30" s="522"/>
      <c r="F30" s="522"/>
      <c r="G30" s="522"/>
      <c r="H30" s="522"/>
      <c r="I30" s="522"/>
      <c r="J30" s="522"/>
      <c r="K30" s="522">
        <f t="shared" si="0"/>
        <v>0</v>
      </c>
      <c r="L30" s="522">
        <f t="shared" si="7"/>
        <v>0</v>
      </c>
      <c r="M30" s="522"/>
      <c r="N30" s="718">
        <f t="shared" si="9"/>
        <v>0</v>
      </c>
      <c r="O30" s="164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164">
        <f t="shared" si="2"/>
        <v>0</v>
      </c>
      <c r="AB30" s="164">
        <f t="shared" si="3"/>
        <v>0</v>
      </c>
      <c r="AC30" s="43">
        <f t="shared" si="10"/>
        <v>0</v>
      </c>
      <c r="AD30" s="718">
        <f t="shared" si="4"/>
        <v>0</v>
      </c>
      <c r="AE30" s="1325">
        <f t="shared" si="5"/>
        <v>0</v>
      </c>
    </row>
    <row r="31" spans="1:31" x14ac:dyDescent="0.25">
      <c r="A31" s="524" t="s">
        <v>40</v>
      </c>
      <c r="B31" s="525"/>
      <c r="C31" s="526">
        <f>SUM(C8:C30)</f>
        <v>2889604.4600000004</v>
      </c>
      <c r="D31" s="526">
        <f>SUM(D8:D30)</f>
        <v>62167.75</v>
      </c>
      <c r="E31" s="526">
        <f>SUM(E8:E30)</f>
        <v>-59450.039999999994</v>
      </c>
      <c r="F31" s="526">
        <f>SUM(F8:F30)</f>
        <v>25147.69</v>
      </c>
      <c r="G31" s="526">
        <f>SUM(G8:G30)</f>
        <v>-66060.800000000003</v>
      </c>
      <c r="H31" s="526">
        <f t="shared" ref="H31:J31" si="11">SUM(H8:H30)</f>
        <v>-118900.07999999999</v>
      </c>
      <c r="I31" s="526">
        <f t="shared" si="11"/>
        <v>0</v>
      </c>
      <c r="J31" s="526">
        <f t="shared" si="11"/>
        <v>0</v>
      </c>
      <c r="K31" s="526">
        <f t="shared" ref="K31:AE31" si="12">SUM(K8:K30)</f>
        <v>2732508.9800000004</v>
      </c>
      <c r="L31" s="526">
        <f t="shared" si="12"/>
        <v>2054381.7349999999</v>
      </c>
      <c r="M31" s="526">
        <f t="shared" si="12"/>
        <v>227709.08166666669</v>
      </c>
      <c r="N31" s="526">
        <f t="shared" si="12"/>
        <v>2282090.8166666669</v>
      </c>
      <c r="O31" s="526">
        <f t="shared" si="12"/>
        <v>150887.02999999997</v>
      </c>
      <c r="P31" s="526">
        <f t="shared" si="12"/>
        <v>157202.04999999999</v>
      </c>
      <c r="Q31" s="526">
        <f t="shared" si="12"/>
        <v>138887.02999999997</v>
      </c>
      <c r="R31" s="526">
        <f t="shared" si="12"/>
        <v>153949.79</v>
      </c>
      <c r="S31" s="526">
        <f t="shared" si="12"/>
        <v>251524.05</v>
      </c>
      <c r="T31" s="526">
        <f t="shared" si="12"/>
        <v>142674.04999999999</v>
      </c>
      <c r="U31" s="526">
        <f t="shared" si="12"/>
        <v>142674.04999999999</v>
      </c>
      <c r="V31" s="526">
        <f t="shared" si="12"/>
        <v>147215.94999999998</v>
      </c>
      <c r="W31" s="526">
        <f t="shared" si="12"/>
        <v>142674.04999999999</v>
      </c>
      <c r="X31" s="526">
        <f t="shared" si="12"/>
        <v>145149.04999999999</v>
      </c>
      <c r="Y31" s="526">
        <f t="shared" si="12"/>
        <v>0</v>
      </c>
      <c r="Z31" s="526">
        <f t="shared" si="12"/>
        <v>0</v>
      </c>
      <c r="AA31" s="526">
        <f t="shared" si="12"/>
        <v>1427688.0499999998</v>
      </c>
      <c r="AB31" s="526">
        <f t="shared" si="12"/>
        <v>145149.04999999999</v>
      </c>
      <c r="AC31" s="526">
        <f t="shared" si="12"/>
        <v>1572837.0999999999</v>
      </c>
      <c r="AD31" s="526">
        <f t="shared" si="12"/>
        <v>709253.71666666667</v>
      </c>
      <c r="AE31" s="1326">
        <f t="shared" si="12"/>
        <v>1159671.8799999999</v>
      </c>
    </row>
    <row r="32" spans="1:31" x14ac:dyDescent="0.25">
      <c r="A32" s="520" t="s">
        <v>248</v>
      </c>
      <c r="B32" s="527"/>
      <c r="C32" s="522"/>
      <c r="D32" s="522"/>
      <c r="E32" s="522"/>
      <c r="F32" s="522"/>
      <c r="G32" s="522"/>
      <c r="H32" s="522"/>
      <c r="I32" s="522"/>
      <c r="J32" s="522"/>
      <c r="K32" s="522">
        <f t="shared" si="0"/>
        <v>0</v>
      </c>
      <c r="L32" s="522"/>
      <c r="M32" s="522"/>
      <c r="N32" s="43"/>
      <c r="O32" s="107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107"/>
      <c r="AB32" s="164">
        <f t="shared" ref="AB32" si="13">O32</f>
        <v>0</v>
      </c>
      <c r="AC32" s="99"/>
      <c r="AD32" s="43"/>
      <c r="AE32" s="1324"/>
    </row>
    <row r="33" spans="1:31" x14ac:dyDescent="0.25">
      <c r="A33" s="200" t="s">
        <v>513</v>
      </c>
      <c r="B33" s="197" t="s">
        <v>43</v>
      </c>
      <c r="C33" s="198">
        <f>108000-45000</f>
        <v>63000</v>
      </c>
      <c r="D33" s="198"/>
      <c r="E33" s="198"/>
      <c r="F33" s="198"/>
      <c r="G33" s="198"/>
      <c r="H33" s="198"/>
      <c r="I33" s="198"/>
      <c r="J33" s="198"/>
      <c r="K33" s="522">
        <f t="shared" si="0"/>
        <v>63000</v>
      </c>
      <c r="L33" s="522">
        <f t="shared" ref="L33:L48" si="14">K33/12*9</f>
        <v>47250</v>
      </c>
      <c r="M33" s="522">
        <f t="shared" ref="M33:M42" si="15">K33/12</f>
        <v>5250</v>
      </c>
      <c r="N33" s="43">
        <f t="shared" ref="N33:N42" si="16">L33+M33</f>
        <v>52500</v>
      </c>
      <c r="O33" s="164"/>
      <c r="P33" s="90">
        <v>4820</v>
      </c>
      <c r="Q33" s="90">
        <v>1865</v>
      </c>
      <c r="R33" s="90">
        <v>1760</v>
      </c>
      <c r="S33" s="90"/>
      <c r="T33" s="90"/>
      <c r="U33" s="90">
        <v>880</v>
      </c>
      <c r="V33" s="90">
        <v>3426</v>
      </c>
      <c r="W33" s="90">
        <v>5640</v>
      </c>
      <c r="X33" s="90">
        <v>1760</v>
      </c>
      <c r="Y33" s="90"/>
      <c r="Z33" s="90"/>
      <c r="AA33" s="164">
        <f t="shared" ref="AA33:AA48" si="17">O33+P33+Q33+R33+S33+T33+U33+V33+W33</f>
        <v>18391</v>
      </c>
      <c r="AB33" s="164">
        <f t="shared" ref="AB33:AB48" si="18">X33</f>
        <v>1760</v>
      </c>
      <c r="AC33" s="43">
        <f t="shared" ref="AC33:AC50" si="19">SUM(O33:Z33)</f>
        <v>20151</v>
      </c>
      <c r="AD33" s="718">
        <f t="shared" ref="AD33:AD48" si="20">N33-AC33</f>
        <v>32349</v>
      </c>
      <c r="AE33" s="1325">
        <f t="shared" ref="AE33:AE48" si="21">K33-AC33</f>
        <v>42849</v>
      </c>
    </row>
    <row r="34" spans="1:31" x14ac:dyDescent="0.25">
      <c r="A34" s="200" t="s">
        <v>44</v>
      </c>
      <c r="B34" s="197" t="s">
        <v>140</v>
      </c>
      <c r="C34" s="198">
        <f>30000-10000</f>
        <v>20000</v>
      </c>
      <c r="D34" s="198"/>
      <c r="E34" s="198"/>
      <c r="F34" s="198"/>
      <c r="G34" s="198"/>
      <c r="H34" s="198"/>
      <c r="I34" s="198">
        <v>5060</v>
      </c>
      <c r="J34" s="198"/>
      <c r="K34" s="522">
        <f t="shared" si="0"/>
        <v>25060</v>
      </c>
      <c r="L34" s="522">
        <f t="shared" si="14"/>
        <v>18795</v>
      </c>
      <c r="M34" s="522">
        <f t="shared" si="15"/>
        <v>2088.3333333333335</v>
      </c>
      <c r="N34" s="43">
        <f t="shared" si="16"/>
        <v>20883.333333333332</v>
      </c>
      <c r="O34" s="164"/>
      <c r="P34" s="90">
        <v>1500</v>
      </c>
      <c r="Q34" s="90"/>
      <c r="R34" s="90"/>
      <c r="S34" s="90"/>
      <c r="T34" s="90"/>
      <c r="U34" s="90"/>
      <c r="V34" s="90">
        <v>5060</v>
      </c>
      <c r="W34" s="90">
        <v>8977</v>
      </c>
      <c r="X34" s="1251">
        <v>1500</v>
      </c>
      <c r="Y34" s="90"/>
      <c r="Z34" s="90"/>
      <c r="AA34" s="164">
        <f>O34+P34+Q34+R34+S34+T34+U34+V34+W34</f>
        <v>15537</v>
      </c>
      <c r="AB34" s="164">
        <f t="shared" si="18"/>
        <v>1500</v>
      </c>
      <c r="AC34" s="43">
        <f t="shared" si="19"/>
        <v>17037</v>
      </c>
      <c r="AD34" s="718">
        <f t="shared" si="20"/>
        <v>3846.3333333333321</v>
      </c>
      <c r="AE34" s="1325">
        <f t="shared" si="21"/>
        <v>8023</v>
      </c>
    </row>
    <row r="35" spans="1:31" x14ac:dyDescent="0.25">
      <c r="A35" s="200" t="s">
        <v>50</v>
      </c>
      <c r="B35" s="197" t="s">
        <v>51</v>
      </c>
      <c r="C35" s="198">
        <f>207000-10000</f>
        <v>197000</v>
      </c>
      <c r="D35" s="198"/>
      <c r="E35" s="198"/>
      <c r="F35" s="198"/>
      <c r="G35" s="198"/>
      <c r="H35" s="198"/>
      <c r="I35" s="198"/>
      <c r="J35" s="198"/>
      <c r="K35" s="522">
        <f t="shared" si="0"/>
        <v>197000</v>
      </c>
      <c r="L35" s="522">
        <f t="shared" si="14"/>
        <v>147750</v>
      </c>
      <c r="M35" s="522">
        <f t="shared" si="15"/>
        <v>16416.666666666668</v>
      </c>
      <c r="N35" s="43">
        <f t="shared" si="16"/>
        <v>164166.66666666666</v>
      </c>
      <c r="O35" s="164"/>
      <c r="P35" s="1088">
        <v>24927</v>
      </c>
      <c r="Q35" s="1088">
        <v>8650</v>
      </c>
      <c r="R35" s="90"/>
      <c r="S35" s="673">
        <v>27976</v>
      </c>
      <c r="T35" s="90">
        <v>2750</v>
      </c>
      <c r="U35" s="90">
        <v>21693</v>
      </c>
      <c r="V35" s="90">
        <v>975</v>
      </c>
      <c r="W35" s="90"/>
      <c r="X35" s="90">
        <v>21210</v>
      </c>
      <c r="Y35" s="90"/>
      <c r="Z35" s="90"/>
      <c r="AA35" s="164">
        <f t="shared" si="17"/>
        <v>86971</v>
      </c>
      <c r="AB35" s="164">
        <f t="shared" si="18"/>
        <v>21210</v>
      </c>
      <c r="AC35" s="43">
        <f t="shared" si="19"/>
        <v>108181</v>
      </c>
      <c r="AD35" s="718">
        <f t="shared" si="20"/>
        <v>55985.666666666657</v>
      </c>
      <c r="AE35" s="1325">
        <f t="shared" si="21"/>
        <v>88819</v>
      </c>
    </row>
    <row r="36" spans="1:31" x14ac:dyDescent="0.25">
      <c r="A36" s="200" t="s">
        <v>481</v>
      </c>
      <c r="B36" s="197" t="s">
        <v>60</v>
      </c>
      <c r="C36" s="198">
        <v>60000</v>
      </c>
      <c r="D36" s="198"/>
      <c r="E36" s="198"/>
      <c r="F36" s="198"/>
      <c r="G36" s="198"/>
      <c r="H36" s="198"/>
      <c r="I36" s="198"/>
      <c r="J36" s="198"/>
      <c r="K36" s="522">
        <f t="shared" si="0"/>
        <v>60000</v>
      </c>
      <c r="L36" s="522">
        <f t="shared" si="14"/>
        <v>45000</v>
      </c>
      <c r="M36" s="522">
        <f t="shared" si="15"/>
        <v>5000</v>
      </c>
      <c r="N36" s="43">
        <f t="shared" si="16"/>
        <v>50000</v>
      </c>
      <c r="O36" s="58">
        <v>5000</v>
      </c>
      <c r="P36" s="666">
        <v>5000</v>
      </c>
      <c r="Q36" s="666">
        <v>5000</v>
      </c>
      <c r="R36" s="373">
        <v>5000</v>
      </c>
      <c r="S36" s="373">
        <v>5000</v>
      </c>
      <c r="T36" s="373"/>
      <c r="U36" s="373">
        <v>10000</v>
      </c>
      <c r="V36" s="373">
        <v>5000</v>
      </c>
      <c r="W36" s="373">
        <v>5000</v>
      </c>
      <c r="X36" s="373">
        <v>5000</v>
      </c>
      <c r="Y36" s="373"/>
      <c r="Z36" s="373"/>
      <c r="AA36" s="164">
        <f t="shared" si="17"/>
        <v>45000</v>
      </c>
      <c r="AB36" s="164">
        <f t="shared" si="18"/>
        <v>5000</v>
      </c>
      <c r="AC36" s="43">
        <f t="shared" si="19"/>
        <v>50000</v>
      </c>
      <c r="AD36" s="718">
        <f t="shared" si="20"/>
        <v>0</v>
      </c>
      <c r="AE36" s="1325">
        <f t="shared" si="21"/>
        <v>10000</v>
      </c>
    </row>
    <row r="37" spans="1:31" x14ac:dyDescent="0.25">
      <c r="A37" s="200" t="s">
        <v>61</v>
      </c>
      <c r="B37" s="197" t="s">
        <v>62</v>
      </c>
      <c r="C37" s="198">
        <f>24000+12000</f>
        <v>36000</v>
      </c>
      <c r="D37" s="198"/>
      <c r="E37" s="198"/>
      <c r="F37" s="198"/>
      <c r="G37" s="198"/>
      <c r="H37" s="198"/>
      <c r="I37" s="198"/>
      <c r="J37" s="198"/>
      <c r="K37" s="522">
        <f t="shared" si="0"/>
        <v>36000</v>
      </c>
      <c r="L37" s="522">
        <f t="shared" si="14"/>
        <v>27000</v>
      </c>
      <c r="M37" s="522">
        <f t="shared" si="15"/>
        <v>3000</v>
      </c>
      <c r="N37" s="43">
        <f t="shared" si="16"/>
        <v>30000</v>
      </c>
      <c r="O37" s="164">
        <v>1000</v>
      </c>
      <c r="P37" s="1088">
        <v>3000</v>
      </c>
      <c r="Q37" s="666">
        <v>3000</v>
      </c>
      <c r="R37" s="90">
        <v>4910.68</v>
      </c>
      <c r="S37" s="90">
        <v>3000</v>
      </c>
      <c r="T37" s="90"/>
      <c r="U37" s="90">
        <v>4000</v>
      </c>
      <c r="V37" s="90">
        <v>2764.52</v>
      </c>
      <c r="W37" s="90">
        <f>849.5+3598</f>
        <v>4447.5</v>
      </c>
      <c r="X37" s="90">
        <f>1799+849.5</f>
        <v>2648.5</v>
      </c>
      <c r="Y37" s="90"/>
      <c r="Z37" s="90"/>
      <c r="AA37" s="164">
        <f t="shared" si="17"/>
        <v>26122.7</v>
      </c>
      <c r="AB37" s="164">
        <f t="shared" si="18"/>
        <v>2648.5</v>
      </c>
      <c r="AC37" s="43">
        <f t="shared" si="19"/>
        <v>28771.200000000001</v>
      </c>
      <c r="AD37" s="718">
        <f t="shared" si="20"/>
        <v>1228.7999999999993</v>
      </c>
      <c r="AE37" s="1325">
        <f t="shared" si="21"/>
        <v>7228.7999999999993</v>
      </c>
    </row>
    <row r="38" spans="1:31" x14ac:dyDescent="0.25">
      <c r="A38" s="200" t="s">
        <v>726</v>
      </c>
      <c r="B38" s="197" t="s">
        <v>64</v>
      </c>
      <c r="C38" s="198">
        <v>10000</v>
      </c>
      <c r="D38" s="198"/>
      <c r="E38" s="198"/>
      <c r="F38" s="198"/>
      <c r="G38" s="198"/>
      <c r="H38" s="198"/>
      <c r="I38" s="198"/>
      <c r="J38" s="198"/>
      <c r="K38" s="522">
        <f t="shared" si="0"/>
        <v>10000</v>
      </c>
      <c r="L38" s="522">
        <f t="shared" si="14"/>
        <v>7500</v>
      </c>
      <c r="M38" s="522">
        <f t="shared" si="15"/>
        <v>833.33333333333337</v>
      </c>
      <c r="N38" s="43">
        <f t="shared" si="16"/>
        <v>8333.3333333333339</v>
      </c>
      <c r="O38" s="164"/>
      <c r="P38" s="1088"/>
      <c r="Q38" s="1088"/>
      <c r="R38" s="90"/>
      <c r="S38" s="90"/>
      <c r="T38" s="90"/>
      <c r="U38" s="90"/>
      <c r="V38" s="90"/>
      <c r="W38" s="90"/>
      <c r="X38" s="90"/>
      <c r="Y38" s="90"/>
      <c r="Z38" s="90"/>
      <c r="AA38" s="164">
        <f t="shared" si="17"/>
        <v>0</v>
      </c>
      <c r="AB38" s="164">
        <f t="shared" si="18"/>
        <v>0</v>
      </c>
      <c r="AC38" s="43">
        <f t="shared" si="19"/>
        <v>0</v>
      </c>
      <c r="AD38" s="718">
        <f t="shared" si="20"/>
        <v>8333.3333333333339</v>
      </c>
      <c r="AE38" s="1325">
        <f t="shared" si="21"/>
        <v>10000</v>
      </c>
    </row>
    <row r="39" spans="1:31" x14ac:dyDescent="0.25">
      <c r="A39" s="200" t="s">
        <v>69</v>
      </c>
      <c r="B39" s="197" t="s">
        <v>70</v>
      </c>
      <c r="C39" s="198">
        <f>500000+25000</f>
        <v>525000</v>
      </c>
      <c r="D39" s="198">
        <v>150000</v>
      </c>
      <c r="E39" s="198"/>
      <c r="F39" s="198"/>
      <c r="G39" s="198"/>
      <c r="H39" s="198"/>
      <c r="I39" s="198"/>
      <c r="J39" s="198"/>
      <c r="K39" s="522">
        <f t="shared" si="0"/>
        <v>675000</v>
      </c>
      <c r="L39" s="522">
        <f t="shared" si="14"/>
        <v>506250</v>
      </c>
      <c r="M39" s="522">
        <f t="shared" si="15"/>
        <v>56250</v>
      </c>
      <c r="N39" s="43">
        <f t="shared" si="16"/>
        <v>562500</v>
      </c>
      <c r="O39" s="164">
        <v>33303.17</v>
      </c>
      <c r="P39" s="1088">
        <v>81637.759999999995</v>
      </c>
      <c r="Q39" s="1088">
        <v>53684.19</v>
      </c>
      <c r="R39" s="90">
        <v>52460.23</v>
      </c>
      <c r="S39" s="90">
        <v>52467.33</v>
      </c>
      <c r="T39" s="90">
        <v>59650.95</v>
      </c>
      <c r="U39" s="90">
        <v>38157.599999999999</v>
      </c>
      <c r="V39" s="90">
        <v>57567.48</v>
      </c>
      <c r="W39" s="90">
        <v>44968.2</v>
      </c>
      <c r="X39" s="90">
        <v>43800</v>
      </c>
      <c r="Y39" s="90"/>
      <c r="Z39" s="90"/>
      <c r="AA39" s="164">
        <f t="shared" si="17"/>
        <v>473896.91</v>
      </c>
      <c r="AB39" s="164">
        <f t="shared" si="18"/>
        <v>43800</v>
      </c>
      <c r="AC39" s="43">
        <f t="shared" si="19"/>
        <v>517696.91</v>
      </c>
      <c r="AD39" s="718">
        <f t="shared" si="20"/>
        <v>44803.090000000026</v>
      </c>
      <c r="AE39" s="1325">
        <f t="shared" si="21"/>
        <v>157303.09000000003</v>
      </c>
    </row>
    <row r="40" spans="1:31" x14ac:dyDescent="0.25">
      <c r="A40" s="200" t="s">
        <v>727</v>
      </c>
      <c r="B40" s="197" t="s">
        <v>76</v>
      </c>
      <c r="C40" s="198"/>
      <c r="D40" s="198"/>
      <c r="E40" s="198"/>
      <c r="F40" s="198"/>
      <c r="G40" s="198"/>
      <c r="H40" s="198"/>
      <c r="I40" s="198"/>
      <c r="J40" s="198"/>
      <c r="K40" s="522">
        <f t="shared" si="0"/>
        <v>0</v>
      </c>
      <c r="L40" s="522">
        <f t="shared" si="14"/>
        <v>0</v>
      </c>
      <c r="M40" s="522">
        <f t="shared" si="15"/>
        <v>0</v>
      </c>
      <c r="N40" s="43">
        <f t="shared" si="16"/>
        <v>0</v>
      </c>
      <c r="O40" s="164"/>
      <c r="P40" s="1088"/>
      <c r="Q40" s="1088"/>
      <c r="R40" s="90"/>
      <c r="S40" s="90"/>
      <c r="T40" s="90"/>
      <c r="U40" s="90"/>
      <c r="V40" s="90"/>
      <c r="W40" s="90"/>
      <c r="X40" s="90"/>
      <c r="Y40" s="90"/>
      <c r="Z40" s="90"/>
      <c r="AA40" s="164">
        <f t="shared" si="17"/>
        <v>0</v>
      </c>
      <c r="AB40" s="164">
        <f t="shared" si="18"/>
        <v>0</v>
      </c>
      <c r="AC40" s="43">
        <f t="shared" si="19"/>
        <v>0</v>
      </c>
      <c r="AD40" s="718">
        <f t="shared" si="20"/>
        <v>0</v>
      </c>
      <c r="AE40" s="1325">
        <f t="shared" si="21"/>
        <v>0</v>
      </c>
    </row>
    <row r="41" spans="1:31" x14ac:dyDescent="0.25">
      <c r="A41" s="291" t="s">
        <v>110</v>
      </c>
      <c r="B41" s="197"/>
      <c r="C41" s="198">
        <v>10000</v>
      </c>
      <c r="D41" s="198"/>
      <c r="E41" s="198"/>
      <c r="F41" s="198"/>
      <c r="G41" s="198"/>
      <c r="H41" s="198"/>
      <c r="I41" s="198"/>
      <c r="J41" s="198"/>
      <c r="K41" s="522">
        <f t="shared" si="0"/>
        <v>10000</v>
      </c>
      <c r="L41" s="522">
        <f t="shared" si="14"/>
        <v>7500</v>
      </c>
      <c r="M41" s="522">
        <f t="shared" si="15"/>
        <v>833.33333333333337</v>
      </c>
      <c r="N41" s="43">
        <f t="shared" si="16"/>
        <v>8333.3333333333339</v>
      </c>
      <c r="O41" s="164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164">
        <f t="shared" si="17"/>
        <v>0</v>
      </c>
      <c r="AB41" s="164">
        <f t="shared" si="18"/>
        <v>0</v>
      </c>
      <c r="AC41" s="43">
        <f t="shared" si="19"/>
        <v>0</v>
      </c>
      <c r="AD41" s="718">
        <f t="shared" si="20"/>
        <v>8333.3333333333339</v>
      </c>
      <c r="AE41" s="1325">
        <f t="shared" si="21"/>
        <v>10000</v>
      </c>
    </row>
    <row r="42" spans="1:31" x14ac:dyDescent="0.25">
      <c r="A42" s="291" t="s">
        <v>728</v>
      </c>
      <c r="B42" s="197"/>
      <c r="C42" s="198">
        <v>50000</v>
      </c>
      <c r="D42" s="198"/>
      <c r="E42" s="198"/>
      <c r="F42" s="198"/>
      <c r="G42" s="198"/>
      <c r="H42" s="198"/>
      <c r="I42" s="198"/>
      <c r="J42" s="198"/>
      <c r="K42" s="522">
        <f t="shared" si="0"/>
        <v>50000</v>
      </c>
      <c r="L42" s="522">
        <f t="shared" si="14"/>
        <v>37500</v>
      </c>
      <c r="M42" s="522">
        <f t="shared" si="15"/>
        <v>4166.666666666667</v>
      </c>
      <c r="N42" s="43">
        <f t="shared" si="16"/>
        <v>41666.666666666664</v>
      </c>
      <c r="O42" s="164"/>
      <c r="P42" s="90">
        <v>9059</v>
      </c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164">
        <f t="shared" si="17"/>
        <v>9059</v>
      </c>
      <c r="AB42" s="164">
        <f t="shared" si="18"/>
        <v>0</v>
      </c>
      <c r="AC42" s="43">
        <f t="shared" si="19"/>
        <v>9059</v>
      </c>
      <c r="AD42" s="718">
        <f t="shared" si="20"/>
        <v>32607.666666666664</v>
      </c>
      <c r="AE42" s="1325">
        <f t="shared" si="21"/>
        <v>40941</v>
      </c>
    </row>
    <row r="43" spans="1:31" x14ac:dyDescent="0.25">
      <c r="A43" s="291" t="s">
        <v>302</v>
      </c>
      <c r="B43" s="197"/>
      <c r="C43" s="198">
        <v>20000</v>
      </c>
      <c r="D43" s="198"/>
      <c r="E43" s="198"/>
      <c r="F43" s="198"/>
      <c r="G43" s="198"/>
      <c r="H43" s="198"/>
      <c r="I43" s="198"/>
      <c r="J43" s="198"/>
      <c r="K43" s="522">
        <f t="shared" si="0"/>
        <v>20000</v>
      </c>
      <c r="L43" s="522">
        <f t="shared" si="14"/>
        <v>15000</v>
      </c>
      <c r="M43" s="522">
        <f t="shared" ref="M43:M47" si="22">K43/12</f>
        <v>1666.6666666666667</v>
      </c>
      <c r="N43" s="43">
        <f t="shared" ref="N43:N47" si="23">L43+M43</f>
        <v>16666.666666666668</v>
      </c>
      <c r="O43" s="164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164">
        <f t="shared" si="17"/>
        <v>0</v>
      </c>
      <c r="AB43" s="164">
        <f t="shared" si="18"/>
        <v>0</v>
      </c>
      <c r="AC43" s="43">
        <f t="shared" ref="AC43:AC48" si="24">SUM(O43:Z43)</f>
        <v>0</v>
      </c>
      <c r="AD43" s="718">
        <f t="shared" si="20"/>
        <v>16666.666666666668</v>
      </c>
      <c r="AE43" s="1325">
        <f t="shared" si="21"/>
        <v>20000</v>
      </c>
    </row>
    <row r="44" spans="1:31" x14ac:dyDescent="0.25">
      <c r="A44" s="200" t="s">
        <v>253</v>
      </c>
      <c r="B44" s="197" t="s">
        <v>93</v>
      </c>
      <c r="C44" s="198"/>
      <c r="D44" s="198"/>
      <c r="E44" s="198"/>
      <c r="F44" s="198"/>
      <c r="G44" s="198"/>
      <c r="H44" s="198"/>
      <c r="I44" s="198"/>
      <c r="J44" s="198"/>
      <c r="K44" s="522">
        <f t="shared" si="0"/>
        <v>0</v>
      </c>
      <c r="L44" s="522">
        <f t="shared" si="14"/>
        <v>0</v>
      </c>
      <c r="M44" s="522">
        <f t="shared" si="22"/>
        <v>0</v>
      </c>
      <c r="N44" s="43">
        <f t="shared" si="23"/>
        <v>0</v>
      </c>
      <c r="O44" s="164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164">
        <f t="shared" si="17"/>
        <v>0</v>
      </c>
      <c r="AB44" s="164">
        <f t="shared" si="18"/>
        <v>0</v>
      </c>
      <c r="AC44" s="43">
        <f t="shared" si="24"/>
        <v>0</v>
      </c>
      <c r="AD44" s="718">
        <f t="shared" si="20"/>
        <v>0</v>
      </c>
      <c r="AE44" s="1325">
        <f t="shared" si="21"/>
        <v>0</v>
      </c>
    </row>
    <row r="45" spans="1:31" x14ac:dyDescent="0.25">
      <c r="A45" s="291" t="s">
        <v>371</v>
      </c>
      <c r="B45" s="197"/>
      <c r="C45" s="198">
        <v>10000</v>
      </c>
      <c r="D45" s="198"/>
      <c r="E45" s="198"/>
      <c r="F45" s="198"/>
      <c r="G45" s="198"/>
      <c r="H45" s="198"/>
      <c r="I45" s="198"/>
      <c r="J45" s="198"/>
      <c r="K45" s="522">
        <f t="shared" si="0"/>
        <v>10000</v>
      </c>
      <c r="L45" s="522">
        <f t="shared" si="14"/>
        <v>7500</v>
      </c>
      <c r="M45" s="522">
        <f t="shared" si="22"/>
        <v>833.33333333333337</v>
      </c>
      <c r="N45" s="43">
        <f t="shared" si="23"/>
        <v>8333.3333333333339</v>
      </c>
      <c r="O45" s="164"/>
      <c r="P45" s="90"/>
      <c r="Q45" s="90">
        <v>2090</v>
      </c>
      <c r="R45" s="90"/>
      <c r="S45" s="90"/>
      <c r="T45" s="90"/>
      <c r="U45" s="90">
        <v>2160</v>
      </c>
      <c r="V45" s="90">
        <v>900</v>
      </c>
      <c r="W45" s="90">
        <v>930</v>
      </c>
      <c r="X45" s="90">
        <v>3920</v>
      </c>
      <c r="Y45" s="90"/>
      <c r="Z45" s="90"/>
      <c r="AA45" s="164">
        <f t="shared" si="17"/>
        <v>6080</v>
      </c>
      <c r="AB45" s="164">
        <f t="shared" si="18"/>
        <v>3920</v>
      </c>
      <c r="AC45" s="43">
        <f t="shared" si="24"/>
        <v>10000</v>
      </c>
      <c r="AD45" s="718">
        <f t="shared" si="20"/>
        <v>-1666.6666666666661</v>
      </c>
      <c r="AE45" s="1325">
        <f t="shared" si="21"/>
        <v>0</v>
      </c>
    </row>
    <row r="46" spans="1:31" x14ac:dyDescent="0.25">
      <c r="A46" s="291" t="s">
        <v>729</v>
      </c>
      <c r="B46" s="197"/>
      <c r="C46" s="198">
        <v>40000</v>
      </c>
      <c r="D46" s="198"/>
      <c r="E46" s="198"/>
      <c r="F46" s="198"/>
      <c r="G46" s="198"/>
      <c r="H46" s="198"/>
      <c r="I46" s="198"/>
      <c r="J46" s="198"/>
      <c r="K46" s="522">
        <f t="shared" si="0"/>
        <v>40000</v>
      </c>
      <c r="L46" s="522">
        <f t="shared" si="14"/>
        <v>30000</v>
      </c>
      <c r="M46" s="522">
        <f t="shared" si="22"/>
        <v>3333.3333333333335</v>
      </c>
      <c r="N46" s="43">
        <f t="shared" si="23"/>
        <v>33333.333333333336</v>
      </c>
      <c r="O46" s="164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164">
        <f t="shared" si="17"/>
        <v>0</v>
      </c>
      <c r="AB46" s="164">
        <f t="shared" si="18"/>
        <v>0</v>
      </c>
      <c r="AC46" s="43">
        <f t="shared" si="24"/>
        <v>0</v>
      </c>
      <c r="AD46" s="718">
        <f t="shared" si="20"/>
        <v>33333.333333333336</v>
      </c>
      <c r="AE46" s="1325">
        <f t="shared" si="21"/>
        <v>40000</v>
      </c>
    </row>
    <row r="47" spans="1:31" x14ac:dyDescent="0.25">
      <c r="A47" s="200" t="s">
        <v>249</v>
      </c>
      <c r="B47" s="197" t="s">
        <v>106</v>
      </c>
      <c r="C47" s="198">
        <v>12710.45</v>
      </c>
      <c r="D47" s="198"/>
      <c r="E47" s="198"/>
      <c r="F47" s="198"/>
      <c r="G47" s="198"/>
      <c r="H47" s="198"/>
      <c r="I47" s="198"/>
      <c r="J47" s="198"/>
      <c r="K47" s="522">
        <f t="shared" si="0"/>
        <v>12710.45</v>
      </c>
      <c r="L47" s="522">
        <f t="shared" si="14"/>
        <v>9532.8374999999996</v>
      </c>
      <c r="M47" s="522">
        <f t="shared" si="22"/>
        <v>1059.2041666666667</v>
      </c>
      <c r="N47" s="43">
        <f t="shared" si="23"/>
        <v>10592.041666666666</v>
      </c>
      <c r="O47" s="164"/>
      <c r="P47" s="90">
        <v>160</v>
      </c>
      <c r="Q47" s="90">
        <v>710</v>
      </c>
      <c r="R47" s="90"/>
      <c r="S47" s="90"/>
      <c r="T47" s="90"/>
      <c r="U47" s="90"/>
      <c r="V47" s="90">
        <v>415</v>
      </c>
      <c r="W47" s="90"/>
      <c r="X47" s="90">
        <v>400</v>
      </c>
      <c r="Y47" s="90"/>
      <c r="Z47" s="90"/>
      <c r="AA47" s="164">
        <f t="shared" si="17"/>
        <v>1285</v>
      </c>
      <c r="AB47" s="164">
        <f t="shared" si="18"/>
        <v>400</v>
      </c>
      <c r="AC47" s="43">
        <f t="shared" si="24"/>
        <v>1685</v>
      </c>
      <c r="AD47" s="718">
        <f t="shared" si="20"/>
        <v>8907.0416666666661</v>
      </c>
      <c r="AE47" s="1325">
        <f t="shared" si="21"/>
        <v>11025.45</v>
      </c>
    </row>
    <row r="48" spans="1:31" x14ac:dyDescent="0.25">
      <c r="A48" s="528"/>
      <c r="B48" s="521"/>
      <c r="C48" s="522"/>
      <c r="D48" s="522"/>
      <c r="E48" s="522"/>
      <c r="F48" s="522"/>
      <c r="G48" s="522"/>
      <c r="H48" s="522"/>
      <c r="I48" s="522"/>
      <c r="J48" s="522"/>
      <c r="K48" s="522">
        <f t="shared" si="0"/>
        <v>0</v>
      </c>
      <c r="L48" s="522">
        <f t="shared" si="14"/>
        <v>0</v>
      </c>
      <c r="M48" s="522"/>
      <c r="N48" s="43"/>
      <c r="O48" s="164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164">
        <f t="shared" si="17"/>
        <v>0</v>
      </c>
      <c r="AB48" s="164">
        <f t="shared" si="18"/>
        <v>0</v>
      </c>
      <c r="AC48" s="43">
        <f t="shared" si="24"/>
        <v>0</v>
      </c>
      <c r="AD48" s="718">
        <f t="shared" si="20"/>
        <v>0</v>
      </c>
      <c r="AE48" s="1325">
        <f t="shared" si="21"/>
        <v>0</v>
      </c>
    </row>
    <row r="49" spans="1:31" x14ac:dyDescent="0.25">
      <c r="A49" s="524" t="s">
        <v>108</v>
      </c>
      <c r="B49" s="529"/>
      <c r="C49" s="526">
        <f>SUM(C33:C48)</f>
        <v>1053710.45</v>
      </c>
      <c r="D49" s="526">
        <f>SUM(D33:D48)</f>
        <v>150000</v>
      </c>
      <c r="E49" s="526"/>
      <c r="F49" s="526">
        <f t="shared" ref="F49:J49" si="25">SUM(F33:F48)</f>
        <v>0</v>
      </c>
      <c r="G49" s="526">
        <f t="shared" si="25"/>
        <v>0</v>
      </c>
      <c r="H49" s="526">
        <f t="shared" si="25"/>
        <v>0</v>
      </c>
      <c r="I49" s="526"/>
      <c r="J49" s="526">
        <f t="shared" si="25"/>
        <v>0</v>
      </c>
      <c r="K49" s="526">
        <f t="shared" ref="K49:AE49" si="26">SUM(K33:K48)</f>
        <v>1208770.45</v>
      </c>
      <c r="L49" s="526">
        <f t="shared" si="26"/>
        <v>906577.83750000002</v>
      </c>
      <c r="M49" s="526">
        <f t="shared" si="26"/>
        <v>100730.87083333332</v>
      </c>
      <c r="N49" s="526">
        <f t="shared" si="26"/>
        <v>1007308.7083333333</v>
      </c>
      <c r="O49" s="526">
        <f t="shared" si="26"/>
        <v>39303.17</v>
      </c>
      <c r="P49" s="526">
        <f t="shared" si="26"/>
        <v>130103.76</v>
      </c>
      <c r="Q49" s="526">
        <f t="shared" si="26"/>
        <v>74999.19</v>
      </c>
      <c r="R49" s="526">
        <f t="shared" si="26"/>
        <v>64130.91</v>
      </c>
      <c r="S49" s="526">
        <f t="shared" si="26"/>
        <v>88443.33</v>
      </c>
      <c r="T49" s="526">
        <f t="shared" si="26"/>
        <v>62400.95</v>
      </c>
      <c r="U49" s="526">
        <f t="shared" si="26"/>
        <v>76890.600000000006</v>
      </c>
      <c r="V49" s="526">
        <f t="shared" si="26"/>
        <v>76108</v>
      </c>
      <c r="W49" s="526">
        <f t="shared" si="26"/>
        <v>69962.7</v>
      </c>
      <c r="X49" s="526">
        <f t="shared" si="26"/>
        <v>80238.5</v>
      </c>
      <c r="Y49" s="526">
        <f t="shared" si="26"/>
        <v>0</v>
      </c>
      <c r="Z49" s="526">
        <f t="shared" si="26"/>
        <v>0</v>
      </c>
      <c r="AA49" s="526">
        <f t="shared" si="26"/>
        <v>682342.61</v>
      </c>
      <c r="AB49" s="526">
        <f t="shared" si="26"/>
        <v>80238.5</v>
      </c>
      <c r="AC49" s="526">
        <f t="shared" si="26"/>
        <v>762581.11</v>
      </c>
      <c r="AD49" s="526">
        <f t="shared" si="26"/>
        <v>244727.59833333333</v>
      </c>
      <c r="AE49" s="1326">
        <f t="shared" si="26"/>
        <v>446189.34</v>
      </c>
    </row>
    <row r="50" spans="1:31" x14ac:dyDescent="0.25">
      <c r="A50" s="520" t="s">
        <v>250</v>
      </c>
      <c r="B50" s="527"/>
      <c r="C50" s="523"/>
      <c r="D50" s="523"/>
      <c r="E50" s="523"/>
      <c r="F50" s="523"/>
      <c r="G50" s="523"/>
      <c r="H50" s="523"/>
      <c r="I50" s="523"/>
      <c r="J50" s="523"/>
      <c r="K50" s="523"/>
      <c r="L50" s="523"/>
      <c r="M50" s="523"/>
      <c r="N50" s="43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43">
        <f t="shared" si="19"/>
        <v>0</v>
      </c>
      <c r="AD50" s="43"/>
      <c r="AE50" s="1324"/>
    </row>
    <row r="51" spans="1:31" x14ac:dyDescent="0.25">
      <c r="A51" s="520" t="s">
        <v>338</v>
      </c>
      <c r="B51" s="527"/>
      <c r="C51" s="523"/>
      <c r="D51" s="523"/>
      <c r="E51" s="523"/>
      <c r="F51" s="523"/>
      <c r="G51" s="523"/>
      <c r="H51" s="523"/>
      <c r="I51" s="523"/>
      <c r="J51" s="523"/>
      <c r="K51" s="523"/>
      <c r="L51" s="523"/>
      <c r="M51" s="523"/>
      <c r="N51" s="43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43"/>
      <c r="AD51" s="43">
        <f t="shared" ref="AD51" si="27">N51-AC51</f>
        <v>0</v>
      </c>
      <c r="AE51" s="1324"/>
    </row>
    <row r="52" spans="1:31" x14ac:dyDescent="0.25">
      <c r="A52" s="532" t="s">
        <v>115</v>
      </c>
      <c r="B52" s="521" t="s">
        <v>116</v>
      </c>
      <c r="C52" s="523"/>
      <c r="D52" s="523"/>
      <c r="E52" s="523"/>
      <c r="F52" s="523"/>
      <c r="G52" s="523"/>
      <c r="H52" s="523"/>
      <c r="I52" s="523"/>
      <c r="J52" s="523"/>
      <c r="K52" s="522">
        <f t="shared" ref="K52:K54" si="28">SUM(C52:J52)</f>
        <v>0</v>
      </c>
      <c r="L52" s="523"/>
      <c r="M52" s="523">
        <f>K52</f>
        <v>0</v>
      </c>
      <c r="N52" s="43">
        <f>SUM(C52:M52)</f>
        <v>0</v>
      </c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164">
        <f t="shared" ref="AA52:AA54" si="29">O52+P52+Q52+R52+S52+T52+U52+V52+W52</f>
        <v>0</v>
      </c>
      <c r="AB52" s="164">
        <f t="shared" ref="AB52:AB54" si="30">X52</f>
        <v>0</v>
      </c>
      <c r="AC52" s="43">
        <f t="shared" ref="AC52:AC54" si="31">SUM(O52:Z52)</f>
        <v>0</v>
      </c>
      <c r="AD52" s="43">
        <f t="shared" ref="AD52:AD54" si="32">N52-AC52</f>
        <v>0</v>
      </c>
      <c r="AE52" s="1325">
        <f t="shared" ref="AE52:AE54" si="33">K52-AC52</f>
        <v>0</v>
      </c>
    </row>
    <row r="53" spans="1:31" x14ac:dyDescent="0.25">
      <c r="A53" s="921" t="s">
        <v>1129</v>
      </c>
      <c r="B53" s="521"/>
      <c r="C53" s="523">
        <v>3546</v>
      </c>
      <c r="D53" s="523"/>
      <c r="E53" s="523"/>
      <c r="F53" s="523"/>
      <c r="G53" s="523"/>
      <c r="H53" s="523"/>
      <c r="I53" s="523"/>
      <c r="J53" s="523">
        <f>-3546</f>
        <v>-3546</v>
      </c>
      <c r="K53" s="522">
        <f t="shared" si="28"/>
        <v>0</v>
      </c>
      <c r="L53" s="522">
        <f t="shared" ref="L53" si="34">K53/12*7</f>
        <v>0</v>
      </c>
      <c r="M53" s="523">
        <f>K53</f>
        <v>0</v>
      </c>
      <c r="N53" s="43">
        <f>K53</f>
        <v>0</v>
      </c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164">
        <f t="shared" si="29"/>
        <v>0</v>
      </c>
      <c r="AB53" s="164">
        <f t="shared" si="30"/>
        <v>0</v>
      </c>
      <c r="AC53" s="43">
        <f t="shared" si="31"/>
        <v>0</v>
      </c>
      <c r="AD53" s="43">
        <f t="shared" si="32"/>
        <v>0</v>
      </c>
      <c r="AE53" s="1325">
        <f t="shared" si="33"/>
        <v>0</v>
      </c>
    </row>
    <row r="54" spans="1:31" x14ac:dyDescent="0.25">
      <c r="A54" s="42"/>
      <c r="B54" s="521"/>
      <c r="C54" s="523"/>
      <c r="D54" s="523"/>
      <c r="E54" s="523"/>
      <c r="F54" s="523"/>
      <c r="G54" s="523"/>
      <c r="H54" s="523"/>
      <c r="I54" s="523"/>
      <c r="J54" s="523"/>
      <c r="K54" s="522">
        <f t="shared" si="28"/>
        <v>0</v>
      </c>
      <c r="L54" s="523"/>
      <c r="M54" s="523">
        <f>K54</f>
        <v>0</v>
      </c>
      <c r="N54" s="43">
        <f>SUM(C54:M54)</f>
        <v>0</v>
      </c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164">
        <f t="shared" si="29"/>
        <v>0</v>
      </c>
      <c r="AB54" s="164">
        <f t="shared" si="30"/>
        <v>0</v>
      </c>
      <c r="AC54" s="43">
        <f t="shared" si="31"/>
        <v>0</v>
      </c>
      <c r="AD54" s="43">
        <f t="shared" si="32"/>
        <v>0</v>
      </c>
      <c r="AE54" s="1325">
        <f t="shared" si="33"/>
        <v>0</v>
      </c>
    </row>
    <row r="55" spans="1:31" x14ac:dyDescent="0.25">
      <c r="A55" s="520" t="s">
        <v>339</v>
      </c>
      <c r="B55" s="527"/>
      <c r="C55" s="531">
        <f t="shared" ref="C55:AE55" si="35">SUM(C52:C54)</f>
        <v>3546</v>
      </c>
      <c r="D55" s="531">
        <f t="shared" si="35"/>
        <v>0</v>
      </c>
      <c r="E55" s="531">
        <f t="shared" si="35"/>
        <v>0</v>
      </c>
      <c r="F55" s="531">
        <f t="shared" si="35"/>
        <v>0</v>
      </c>
      <c r="G55" s="531">
        <f t="shared" si="35"/>
        <v>0</v>
      </c>
      <c r="H55" s="531">
        <f t="shared" si="35"/>
        <v>0</v>
      </c>
      <c r="I55" s="531">
        <f t="shared" si="35"/>
        <v>0</v>
      </c>
      <c r="J55" s="531">
        <f t="shared" si="35"/>
        <v>-3546</v>
      </c>
      <c r="K55" s="531">
        <f t="shared" si="35"/>
        <v>0</v>
      </c>
      <c r="L55" s="531">
        <f t="shared" si="35"/>
        <v>0</v>
      </c>
      <c r="M55" s="531">
        <f t="shared" si="35"/>
        <v>0</v>
      </c>
      <c r="N55" s="531">
        <f t="shared" si="35"/>
        <v>0</v>
      </c>
      <c r="O55" s="531">
        <f t="shared" si="35"/>
        <v>0</v>
      </c>
      <c r="P55" s="531">
        <f t="shared" si="35"/>
        <v>0</v>
      </c>
      <c r="Q55" s="531">
        <f t="shared" si="35"/>
        <v>0</v>
      </c>
      <c r="R55" s="531">
        <f t="shared" si="35"/>
        <v>0</v>
      </c>
      <c r="S55" s="531">
        <f t="shared" si="35"/>
        <v>0</v>
      </c>
      <c r="T55" s="531">
        <f t="shared" si="35"/>
        <v>0</v>
      </c>
      <c r="U55" s="531">
        <f t="shared" si="35"/>
        <v>0</v>
      </c>
      <c r="V55" s="531">
        <f t="shared" si="35"/>
        <v>0</v>
      </c>
      <c r="W55" s="531">
        <f t="shared" si="35"/>
        <v>0</v>
      </c>
      <c r="X55" s="531">
        <f t="shared" si="35"/>
        <v>0</v>
      </c>
      <c r="Y55" s="531">
        <f t="shared" si="35"/>
        <v>0</v>
      </c>
      <c r="Z55" s="531">
        <f t="shared" si="35"/>
        <v>0</v>
      </c>
      <c r="AA55" s="164">
        <f t="shared" ref="AA55" si="36">O55+P55+Q55+R55+S55+T55+U55+V55</f>
        <v>0</v>
      </c>
      <c r="AB55" s="164">
        <f t="shared" ref="AB55" si="37">W55</f>
        <v>0</v>
      </c>
      <c r="AC55" s="531">
        <f t="shared" si="35"/>
        <v>0</v>
      </c>
      <c r="AD55" s="531">
        <f t="shared" si="35"/>
        <v>0</v>
      </c>
      <c r="AE55" s="1327">
        <f t="shared" si="35"/>
        <v>0</v>
      </c>
    </row>
    <row r="56" spans="1:31" x14ac:dyDescent="0.25">
      <c r="A56" s="520" t="s">
        <v>329</v>
      </c>
      <c r="B56" s="527"/>
      <c r="C56" s="523"/>
      <c r="D56" s="523"/>
      <c r="E56" s="523"/>
      <c r="F56" s="523"/>
      <c r="G56" s="523"/>
      <c r="H56" s="523"/>
      <c r="I56" s="523"/>
      <c r="J56" s="523"/>
      <c r="K56" s="523"/>
      <c r="L56" s="523"/>
      <c r="M56" s="523"/>
      <c r="N56" s="43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164">
        <f t="shared" ref="AA56:AA60" si="38">O56+P56+Q56+R56+S56+T56+U56+V56+W56</f>
        <v>0</v>
      </c>
      <c r="AB56" s="164">
        <f t="shared" ref="AB56:AB60" si="39">X56</f>
        <v>0</v>
      </c>
      <c r="AC56" s="43"/>
      <c r="AD56" s="43"/>
      <c r="AE56" s="1324"/>
    </row>
    <row r="57" spans="1:31" x14ac:dyDescent="0.25">
      <c r="A57" s="532" t="s">
        <v>115</v>
      </c>
      <c r="B57" s="521" t="s">
        <v>116</v>
      </c>
      <c r="C57" s="522"/>
      <c r="D57" s="522"/>
      <c r="E57" s="522"/>
      <c r="F57" s="522"/>
      <c r="G57" s="522"/>
      <c r="H57" s="522"/>
      <c r="I57" s="522"/>
      <c r="J57" s="522"/>
      <c r="K57" s="522">
        <f t="shared" ref="K57:K59" si="40">SUM(C57:J57)</f>
        <v>0</v>
      </c>
      <c r="L57" s="522"/>
      <c r="M57" s="523">
        <f t="shared" ref="M57:M60" si="41">K57</f>
        <v>0</v>
      </c>
      <c r="N57" s="43"/>
      <c r="O57" s="107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164">
        <f t="shared" si="38"/>
        <v>0</v>
      </c>
      <c r="AB57" s="164">
        <f t="shared" si="39"/>
        <v>0</v>
      </c>
      <c r="AC57" s="99"/>
      <c r="AD57" s="43"/>
      <c r="AE57" s="1325">
        <f>K57-AC57</f>
        <v>0</v>
      </c>
    </row>
    <row r="58" spans="1:31" x14ac:dyDescent="0.25">
      <c r="A58" s="528" t="s">
        <v>730</v>
      </c>
      <c r="B58" s="521"/>
      <c r="C58" s="523">
        <v>107000</v>
      </c>
      <c r="D58" s="523"/>
      <c r="E58" s="523"/>
      <c r="F58" s="523"/>
      <c r="G58" s="523"/>
      <c r="H58" s="523"/>
      <c r="I58" s="523"/>
      <c r="J58" s="523"/>
      <c r="K58" s="522">
        <f t="shared" si="40"/>
        <v>107000</v>
      </c>
      <c r="L58" s="522">
        <f>K58</f>
        <v>107000</v>
      </c>
      <c r="M58" s="523">
        <f t="shared" si="41"/>
        <v>107000</v>
      </c>
      <c r="N58" s="43">
        <f>K58</f>
        <v>107000</v>
      </c>
      <c r="O58" s="107"/>
      <c r="P58" s="99"/>
      <c r="Q58" s="99"/>
      <c r="R58" s="99"/>
      <c r="S58" s="99"/>
      <c r="T58" s="99"/>
      <c r="U58" s="673">
        <v>65520</v>
      </c>
      <c r="V58" s="99"/>
      <c r="W58" s="99"/>
      <c r="X58" s="99"/>
      <c r="Y58" s="99"/>
      <c r="Z58" s="99"/>
      <c r="AA58" s="164">
        <f t="shared" si="38"/>
        <v>65520</v>
      </c>
      <c r="AB58" s="164">
        <f t="shared" si="39"/>
        <v>0</v>
      </c>
      <c r="AC58" s="718">
        <f t="shared" ref="AC58:AC60" si="42">SUM(O58:Z58)</f>
        <v>65520</v>
      </c>
      <c r="AD58" s="718">
        <f t="shared" ref="AD58:AD60" si="43">N58-AC58</f>
        <v>41480</v>
      </c>
      <c r="AE58" s="1325">
        <f t="shared" ref="AE58:AE60" si="44">K58-AC58</f>
        <v>41480</v>
      </c>
    </row>
    <row r="59" spans="1:31" x14ac:dyDescent="0.25">
      <c r="A59" s="42" t="s">
        <v>731</v>
      </c>
      <c r="B59" s="521"/>
      <c r="C59" s="523"/>
      <c r="D59" s="523"/>
      <c r="E59" s="523"/>
      <c r="F59" s="523"/>
      <c r="G59" s="523"/>
      <c r="H59" s="523"/>
      <c r="I59" s="523"/>
      <c r="J59" s="523"/>
      <c r="K59" s="522">
        <f t="shared" si="40"/>
        <v>0</v>
      </c>
      <c r="L59" s="522">
        <f t="shared" ref="L59:L60" si="45">K59</f>
        <v>0</v>
      </c>
      <c r="M59" s="523">
        <f t="shared" si="41"/>
        <v>0</v>
      </c>
      <c r="N59" s="718">
        <f t="shared" ref="N59:N60" si="46">K59</f>
        <v>0</v>
      </c>
      <c r="O59" s="107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64">
        <f t="shared" si="38"/>
        <v>0</v>
      </c>
      <c r="AB59" s="164">
        <f t="shared" si="39"/>
        <v>0</v>
      </c>
      <c r="AC59" s="718">
        <f t="shared" si="42"/>
        <v>0</v>
      </c>
      <c r="AD59" s="718">
        <f t="shared" si="43"/>
        <v>0</v>
      </c>
      <c r="AE59" s="1325">
        <f t="shared" si="44"/>
        <v>0</v>
      </c>
    </row>
    <row r="60" spans="1:31" x14ac:dyDescent="0.25">
      <c r="A60" s="528" t="s">
        <v>732</v>
      </c>
      <c r="B60" s="521"/>
      <c r="C60" s="523">
        <v>6500</v>
      </c>
      <c r="D60" s="523"/>
      <c r="E60" s="523"/>
      <c r="F60" s="523"/>
      <c r="G60" s="523"/>
      <c r="H60" s="523"/>
      <c r="I60" s="523"/>
      <c r="J60" s="523"/>
      <c r="K60" s="522">
        <f>SUM(C60:J60)</f>
        <v>6500</v>
      </c>
      <c r="L60" s="522">
        <f t="shared" si="45"/>
        <v>6500</v>
      </c>
      <c r="M60" s="523">
        <f t="shared" si="41"/>
        <v>6500</v>
      </c>
      <c r="N60" s="718">
        <f t="shared" si="46"/>
        <v>6500</v>
      </c>
      <c r="O60" s="373">
        <v>0</v>
      </c>
      <c r="P60" s="373">
        <v>0</v>
      </c>
      <c r="Q60" s="373">
        <v>0</v>
      </c>
      <c r="R60" s="373">
        <v>0</v>
      </c>
      <c r="S60" s="373">
        <v>0</v>
      </c>
      <c r="T60" s="373">
        <v>0</v>
      </c>
      <c r="U60" s="373">
        <v>0</v>
      </c>
      <c r="V60" s="373">
        <v>6500</v>
      </c>
      <c r="W60" s="373">
        <v>0</v>
      </c>
      <c r="X60" s="373">
        <v>0</v>
      </c>
      <c r="Y60" s="373">
        <v>0</v>
      </c>
      <c r="Z60" s="373">
        <v>0</v>
      </c>
      <c r="AA60" s="164">
        <f t="shared" si="38"/>
        <v>6500</v>
      </c>
      <c r="AB60" s="164">
        <f t="shared" si="39"/>
        <v>0</v>
      </c>
      <c r="AC60" s="718">
        <f t="shared" si="42"/>
        <v>6500</v>
      </c>
      <c r="AD60" s="718">
        <f t="shared" si="43"/>
        <v>0</v>
      </c>
      <c r="AE60" s="1325">
        <f t="shared" si="44"/>
        <v>0</v>
      </c>
    </row>
    <row r="61" spans="1:31" x14ac:dyDescent="0.25">
      <c r="A61" s="524" t="s">
        <v>337</v>
      </c>
      <c r="B61" s="533"/>
      <c r="C61" s="526">
        <f>SUM(C57:C60)</f>
        <v>113500</v>
      </c>
      <c r="D61" s="526">
        <f>SUM(D57:D60)</f>
        <v>0</v>
      </c>
      <c r="E61" s="526">
        <f>SUM(E57:E60)</f>
        <v>0</v>
      </c>
      <c r="F61" s="526">
        <f t="shared" ref="F61:K61" si="47">SUM(F57:F60)</f>
        <v>0</v>
      </c>
      <c r="G61" s="526">
        <f t="shared" si="47"/>
        <v>0</v>
      </c>
      <c r="H61" s="526">
        <f t="shared" si="47"/>
        <v>0</v>
      </c>
      <c r="I61" s="526">
        <f t="shared" ref="I61" si="48">SUM(I57:I60)</f>
        <v>0</v>
      </c>
      <c r="J61" s="526">
        <f t="shared" si="47"/>
        <v>0</v>
      </c>
      <c r="K61" s="526">
        <f t="shared" si="47"/>
        <v>113500</v>
      </c>
      <c r="L61" s="526">
        <f t="shared" ref="L61:AE61" si="49">SUM(L57:L60)</f>
        <v>113500</v>
      </c>
      <c r="M61" s="526">
        <f t="shared" si="49"/>
        <v>113500</v>
      </c>
      <c r="N61" s="526">
        <f t="shared" si="49"/>
        <v>113500</v>
      </c>
      <c r="O61" s="526">
        <f t="shared" si="49"/>
        <v>0</v>
      </c>
      <c r="P61" s="526">
        <f t="shared" si="49"/>
        <v>0</v>
      </c>
      <c r="Q61" s="526">
        <f t="shared" si="49"/>
        <v>0</v>
      </c>
      <c r="R61" s="526">
        <f t="shared" si="49"/>
        <v>0</v>
      </c>
      <c r="S61" s="526">
        <f t="shared" si="49"/>
        <v>0</v>
      </c>
      <c r="T61" s="526">
        <f t="shared" si="49"/>
        <v>0</v>
      </c>
      <c r="U61" s="526">
        <f>SUM(U57:U60)</f>
        <v>65520</v>
      </c>
      <c r="V61" s="526">
        <f t="shared" si="49"/>
        <v>6500</v>
      </c>
      <c r="W61" s="526">
        <f t="shared" si="49"/>
        <v>0</v>
      </c>
      <c r="X61" s="526">
        <f t="shared" si="49"/>
        <v>0</v>
      </c>
      <c r="Y61" s="526">
        <f t="shared" si="49"/>
        <v>0</v>
      </c>
      <c r="Z61" s="526">
        <f t="shared" si="49"/>
        <v>0</v>
      </c>
      <c r="AA61" s="526">
        <f t="shared" si="49"/>
        <v>72020</v>
      </c>
      <c r="AB61" s="526">
        <f t="shared" si="49"/>
        <v>0</v>
      </c>
      <c r="AC61" s="526">
        <f t="shared" si="49"/>
        <v>72020</v>
      </c>
      <c r="AD61" s="526">
        <f t="shared" si="49"/>
        <v>41480</v>
      </c>
      <c r="AE61" s="1326">
        <f t="shared" si="49"/>
        <v>41480</v>
      </c>
    </row>
    <row r="62" spans="1:31" x14ac:dyDescent="0.25">
      <c r="A62" s="524" t="s">
        <v>330</v>
      </c>
      <c r="B62" s="533"/>
      <c r="C62" s="526">
        <f>C55+C61</f>
        <v>117046</v>
      </c>
      <c r="D62" s="526">
        <f>D55+D61</f>
        <v>0</v>
      </c>
      <c r="E62" s="526">
        <f>E55+E61</f>
        <v>0</v>
      </c>
      <c r="F62" s="526">
        <f t="shared" ref="F62:K62" si="50">F55+F61</f>
        <v>0</v>
      </c>
      <c r="G62" s="526">
        <f t="shared" si="50"/>
        <v>0</v>
      </c>
      <c r="H62" s="526">
        <f t="shared" si="50"/>
        <v>0</v>
      </c>
      <c r="I62" s="526">
        <f t="shared" ref="I62" si="51">I55+I61</f>
        <v>0</v>
      </c>
      <c r="J62" s="526">
        <f t="shared" si="50"/>
        <v>-3546</v>
      </c>
      <c r="K62" s="526">
        <f t="shared" si="50"/>
        <v>113500</v>
      </c>
      <c r="L62" s="526">
        <f t="shared" ref="L62:AE62" si="52">L55+L61</f>
        <v>113500</v>
      </c>
      <c r="M62" s="526">
        <f t="shared" si="52"/>
        <v>113500</v>
      </c>
      <c r="N62" s="526">
        <f t="shared" si="52"/>
        <v>113500</v>
      </c>
      <c r="O62" s="526">
        <f t="shared" si="52"/>
        <v>0</v>
      </c>
      <c r="P62" s="526">
        <f t="shared" si="52"/>
        <v>0</v>
      </c>
      <c r="Q62" s="526">
        <f t="shared" si="52"/>
        <v>0</v>
      </c>
      <c r="R62" s="526">
        <f t="shared" si="52"/>
        <v>0</v>
      </c>
      <c r="S62" s="526">
        <f t="shared" si="52"/>
        <v>0</v>
      </c>
      <c r="T62" s="526">
        <f t="shared" si="52"/>
        <v>0</v>
      </c>
      <c r="U62" s="526">
        <f t="shared" si="52"/>
        <v>65520</v>
      </c>
      <c r="V62" s="526">
        <f t="shared" si="52"/>
        <v>6500</v>
      </c>
      <c r="W62" s="526">
        <f t="shared" si="52"/>
        <v>0</v>
      </c>
      <c r="X62" s="526">
        <f t="shared" si="52"/>
        <v>0</v>
      </c>
      <c r="Y62" s="526">
        <f t="shared" si="52"/>
        <v>0</v>
      </c>
      <c r="Z62" s="526">
        <f t="shared" si="52"/>
        <v>0</v>
      </c>
      <c r="AA62" s="526">
        <f t="shared" si="52"/>
        <v>72020</v>
      </c>
      <c r="AB62" s="526">
        <f t="shared" si="52"/>
        <v>0</v>
      </c>
      <c r="AC62" s="526">
        <f t="shared" si="52"/>
        <v>72020</v>
      </c>
      <c r="AD62" s="526">
        <f t="shared" si="52"/>
        <v>41480</v>
      </c>
      <c r="AE62" s="1326">
        <f t="shared" si="52"/>
        <v>41480</v>
      </c>
    </row>
    <row r="63" spans="1:31" ht="15.75" thickBot="1" x14ac:dyDescent="0.3">
      <c r="A63" s="534" t="s">
        <v>160</v>
      </c>
      <c r="B63" s="535"/>
      <c r="C63" s="536">
        <f t="shared" ref="C63:D63" si="53">+C31+C49+C62</f>
        <v>4060360.91</v>
      </c>
      <c r="D63" s="536">
        <f t="shared" si="53"/>
        <v>212167.75</v>
      </c>
      <c r="E63" s="536">
        <f t="shared" ref="E63" si="54">+E31+E49+E62</f>
        <v>-59450.039999999994</v>
      </c>
      <c r="F63" s="536">
        <f t="shared" ref="F63:K63" si="55">+F31+F49+F62</f>
        <v>25147.69</v>
      </c>
      <c r="G63" s="536">
        <f t="shared" si="55"/>
        <v>-66060.800000000003</v>
      </c>
      <c r="H63" s="536">
        <f t="shared" si="55"/>
        <v>-118900.07999999999</v>
      </c>
      <c r="I63" s="536">
        <f t="shared" ref="I63" si="56">+I31+I49+I62</f>
        <v>0</v>
      </c>
      <c r="J63" s="536">
        <f t="shared" si="55"/>
        <v>-3546</v>
      </c>
      <c r="K63" s="536">
        <f t="shared" si="55"/>
        <v>4054779.4300000006</v>
      </c>
      <c r="L63" s="536">
        <f t="shared" ref="L63:AE63" si="57">+L31+L49+L62</f>
        <v>3074459.5724999998</v>
      </c>
      <c r="M63" s="536">
        <f t="shared" si="57"/>
        <v>441939.95250000001</v>
      </c>
      <c r="N63" s="536">
        <f t="shared" si="57"/>
        <v>3402899.5250000004</v>
      </c>
      <c r="O63" s="536">
        <f t="shared" si="57"/>
        <v>190190.19999999995</v>
      </c>
      <c r="P63" s="536">
        <f t="shared" si="57"/>
        <v>287305.81</v>
      </c>
      <c r="Q63" s="536">
        <f t="shared" si="57"/>
        <v>213886.21999999997</v>
      </c>
      <c r="R63" s="536">
        <f t="shared" si="57"/>
        <v>218080.7</v>
      </c>
      <c r="S63" s="536">
        <f t="shared" si="57"/>
        <v>339967.38</v>
      </c>
      <c r="T63" s="536">
        <f t="shared" si="57"/>
        <v>205075</v>
      </c>
      <c r="U63" s="536">
        <f t="shared" si="57"/>
        <v>285084.65000000002</v>
      </c>
      <c r="V63" s="536">
        <f t="shared" si="57"/>
        <v>229823.94999999998</v>
      </c>
      <c r="W63" s="536">
        <f t="shared" si="57"/>
        <v>212636.75</v>
      </c>
      <c r="X63" s="536">
        <f t="shared" si="57"/>
        <v>225387.55</v>
      </c>
      <c r="Y63" s="536">
        <f t="shared" si="57"/>
        <v>0</v>
      </c>
      <c r="Z63" s="536">
        <f t="shared" si="57"/>
        <v>0</v>
      </c>
      <c r="AA63" s="536">
        <f t="shared" si="57"/>
        <v>2182050.6599999997</v>
      </c>
      <c r="AB63" s="536">
        <f t="shared" si="57"/>
        <v>225387.55</v>
      </c>
      <c r="AC63" s="536">
        <f t="shared" si="57"/>
        <v>2407438.21</v>
      </c>
      <c r="AD63" s="536">
        <f t="shared" si="57"/>
        <v>995461.31499999994</v>
      </c>
      <c r="AE63" s="1328">
        <f t="shared" si="57"/>
        <v>1647341.22</v>
      </c>
    </row>
    <row r="64" spans="1:31" ht="15.75" thickTop="1" x14ac:dyDescent="0.25"/>
    <row r="66" spans="1:30" x14ac:dyDescent="0.25">
      <c r="A66" s="29" t="s">
        <v>354</v>
      </c>
      <c r="B66" s="488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AD66" s="490" t="s">
        <v>357</v>
      </c>
    </row>
    <row r="67" spans="1:30" x14ac:dyDescent="0.25">
      <c r="B67" s="491"/>
      <c r="C67" s="492"/>
      <c r="D67" s="492"/>
      <c r="E67" s="492"/>
      <c r="F67" s="492"/>
      <c r="G67" s="492"/>
      <c r="H67" s="492"/>
      <c r="I67" s="492"/>
      <c r="J67" s="492"/>
      <c r="K67" s="492"/>
      <c r="L67" s="492"/>
      <c r="M67" s="492"/>
    </row>
    <row r="68" spans="1:30" x14ac:dyDescent="0.25">
      <c r="B68" s="491"/>
      <c r="C68" s="492"/>
      <c r="D68" s="492"/>
      <c r="E68" s="492"/>
      <c r="F68" s="492"/>
      <c r="G68" s="492"/>
      <c r="H68" s="492"/>
      <c r="I68" s="492"/>
      <c r="J68" s="492"/>
      <c r="K68" s="492"/>
      <c r="L68" s="492"/>
      <c r="M68" s="492"/>
    </row>
    <row r="69" spans="1:30" x14ac:dyDescent="0.25">
      <c r="B69" s="491"/>
      <c r="C69" s="492"/>
      <c r="D69" s="492"/>
      <c r="E69" s="492"/>
      <c r="F69" s="492"/>
      <c r="G69" s="492"/>
      <c r="H69" s="492"/>
      <c r="I69" s="492"/>
      <c r="J69" s="492"/>
      <c r="K69" s="492"/>
      <c r="L69" s="492"/>
      <c r="M69" s="492"/>
    </row>
    <row r="70" spans="1:30" x14ac:dyDescent="0.25">
      <c r="A70" s="493" t="s">
        <v>355</v>
      </c>
      <c r="B70" s="494"/>
      <c r="C70" s="495"/>
      <c r="D70" s="495"/>
      <c r="E70" s="495"/>
      <c r="F70" s="495"/>
      <c r="G70" s="495"/>
      <c r="H70" s="495"/>
      <c r="I70" s="495"/>
      <c r="J70" s="495"/>
      <c r="K70" s="495"/>
      <c r="L70" s="495"/>
      <c r="M70" s="495"/>
      <c r="AD70" s="496" t="s">
        <v>358</v>
      </c>
    </row>
    <row r="71" spans="1:30" x14ac:dyDescent="0.25">
      <c r="A71" s="490" t="s">
        <v>356</v>
      </c>
      <c r="AD71" s="490" t="s">
        <v>359</v>
      </c>
    </row>
  </sheetData>
  <mergeCells count="3">
    <mergeCell ref="A1:AE1"/>
    <mergeCell ref="A2:AE2"/>
    <mergeCell ref="A3:AE3"/>
  </mergeCells>
  <printOptions horizontalCentered="1" headings="1"/>
  <pageMargins left="0.78" right="0.2" top="1.5" bottom="0.5" header="0.3" footer="0.3"/>
  <pageSetup paperSize="5" scale="57" orientation="landscape" r:id="rId1"/>
  <rowBreaks count="1" manualBreakCount="1">
    <brk id="42" max="30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7"/>
  <sheetViews>
    <sheetView view="pageBreakPreview" topLeftCell="A40" zoomScale="82" zoomScaleNormal="100" zoomScaleSheetLayoutView="82" workbookViewId="0">
      <pane xSplit="1" topLeftCell="AB1" activePane="topRight" state="frozen"/>
      <selection pane="topRight" activeCell="AD60" sqref="AD60"/>
    </sheetView>
  </sheetViews>
  <sheetFormatPr defaultRowHeight="15" outlineLevelCol="1" x14ac:dyDescent="0.25"/>
  <cols>
    <col min="1" max="1" width="45.85546875" style="29" customWidth="1"/>
    <col min="2" max="2" width="12.7109375" style="29" customWidth="1"/>
    <col min="3" max="14" width="15" style="29" customWidth="1"/>
    <col min="15" max="15" width="12.7109375" style="29" customWidth="1"/>
    <col min="16" max="27" width="12.7109375" style="29" hidden="1" customWidth="1" outlineLevel="1"/>
    <col min="28" max="28" width="15" style="29" customWidth="1" collapsed="1"/>
    <col min="29" max="31" width="12.7109375" style="29" customWidth="1"/>
    <col min="32" max="32" width="14.5703125" style="29" customWidth="1"/>
    <col min="33" max="16384" width="9.140625" style="29"/>
  </cols>
  <sheetData>
    <row r="1" spans="1:32" x14ac:dyDescent="0.25">
      <c r="A1" s="1439" t="s">
        <v>352</v>
      </c>
      <c r="B1" s="1439"/>
      <c r="C1" s="1439"/>
      <c r="D1" s="1439"/>
      <c r="E1" s="1439"/>
      <c r="F1" s="1439"/>
      <c r="G1" s="1439"/>
      <c r="H1" s="1439"/>
      <c r="I1" s="1439"/>
      <c r="J1" s="1439"/>
      <c r="K1" s="1439"/>
      <c r="L1" s="1439"/>
      <c r="M1" s="1439"/>
      <c r="N1" s="1439"/>
      <c r="O1" s="1439"/>
      <c r="P1" s="1439"/>
      <c r="Q1" s="1439"/>
      <c r="R1" s="1439"/>
      <c r="S1" s="1439"/>
      <c r="T1" s="1439"/>
      <c r="U1" s="1439"/>
      <c r="V1" s="1439"/>
      <c r="W1" s="1439"/>
      <c r="X1" s="1439"/>
      <c r="Y1" s="1439"/>
      <c r="Z1" s="1439"/>
      <c r="AA1" s="1439"/>
      <c r="AB1" s="1439"/>
      <c r="AC1" s="1439"/>
      <c r="AD1" s="1439"/>
      <c r="AE1" s="1439"/>
      <c r="AF1" s="1439"/>
    </row>
    <row r="2" spans="1:32" x14ac:dyDescent="0.25">
      <c r="A2" s="1439" t="s">
        <v>353</v>
      </c>
      <c r="B2" s="1439"/>
      <c r="C2" s="1439"/>
      <c r="D2" s="1439"/>
      <c r="E2" s="1439"/>
      <c r="F2" s="1439"/>
      <c r="G2" s="1439"/>
      <c r="H2" s="1439"/>
      <c r="I2" s="1439"/>
      <c r="J2" s="1439"/>
      <c r="K2" s="1439"/>
      <c r="L2" s="1439"/>
      <c r="M2" s="1439"/>
      <c r="N2" s="1439"/>
      <c r="O2" s="1439"/>
      <c r="P2" s="1439"/>
      <c r="Q2" s="1439"/>
      <c r="R2" s="1439"/>
      <c r="S2" s="1439"/>
      <c r="T2" s="1439"/>
      <c r="U2" s="1439"/>
      <c r="V2" s="1439"/>
      <c r="W2" s="1439"/>
      <c r="X2" s="1439"/>
      <c r="Y2" s="1439"/>
      <c r="Z2" s="1439"/>
      <c r="AA2" s="1439"/>
      <c r="AB2" s="1439"/>
      <c r="AC2" s="1439"/>
      <c r="AD2" s="1439"/>
      <c r="AE2" s="1439"/>
      <c r="AF2" s="1439"/>
    </row>
    <row r="3" spans="1:32" ht="15.75" thickBot="1" x14ac:dyDescent="0.3">
      <c r="A3" s="1440" t="str">
        <f>'1081-MACCO'!A3:AE3</f>
        <v>For the Period October 1-31, 2021</v>
      </c>
      <c r="B3" s="1440"/>
      <c r="C3" s="1440"/>
      <c r="D3" s="1440"/>
      <c r="E3" s="1440"/>
      <c r="F3" s="1440"/>
      <c r="G3" s="1440"/>
      <c r="H3" s="1440"/>
      <c r="I3" s="1440"/>
      <c r="J3" s="1440"/>
      <c r="K3" s="1440"/>
      <c r="L3" s="1440"/>
      <c r="M3" s="1440"/>
      <c r="N3" s="1440"/>
      <c r="O3" s="1440"/>
      <c r="P3" s="1440"/>
      <c r="Q3" s="1440"/>
      <c r="R3" s="1440"/>
      <c r="S3" s="1440"/>
      <c r="T3" s="1440"/>
      <c r="U3" s="1440"/>
      <c r="V3" s="1440"/>
      <c r="W3" s="1440"/>
      <c r="X3" s="1440"/>
      <c r="Y3" s="1440"/>
      <c r="Z3" s="1440"/>
      <c r="AA3" s="1440"/>
      <c r="AB3" s="1440"/>
      <c r="AC3" s="1440"/>
      <c r="AD3" s="1440"/>
      <c r="AE3" s="1440"/>
      <c r="AF3" s="1440"/>
    </row>
    <row r="4" spans="1:32" ht="27" thickTop="1" x14ac:dyDescent="0.25">
      <c r="A4" s="463" t="s">
        <v>347</v>
      </c>
      <c r="B4" s="463" t="s">
        <v>2</v>
      </c>
      <c r="C4" s="463" t="s">
        <v>133</v>
      </c>
      <c r="D4" s="1073" t="s">
        <v>1204</v>
      </c>
      <c r="E4" s="463" t="s">
        <v>1374</v>
      </c>
      <c r="F4" s="463" t="s">
        <v>1321</v>
      </c>
      <c r="G4" s="1073" t="s">
        <v>1204</v>
      </c>
      <c r="H4" s="1073" t="s">
        <v>1204</v>
      </c>
      <c r="I4" s="1140" t="s">
        <v>1205</v>
      </c>
      <c r="J4" s="1073" t="s">
        <v>1338</v>
      </c>
      <c r="K4" s="1073" t="s">
        <v>1227</v>
      </c>
      <c r="L4" s="463" t="s">
        <v>1</v>
      </c>
      <c r="M4" s="463" t="s">
        <v>316</v>
      </c>
      <c r="N4" s="463" t="s">
        <v>314</v>
      </c>
      <c r="O4" s="465" t="s">
        <v>346</v>
      </c>
      <c r="P4" s="519"/>
      <c r="Q4" s="519"/>
      <c r="R4" s="519"/>
      <c r="S4" s="519"/>
      <c r="T4" s="230"/>
      <c r="U4" s="230"/>
      <c r="V4" s="230"/>
      <c r="W4" s="230"/>
      <c r="X4" s="230"/>
      <c r="Y4" s="230"/>
      <c r="Z4" s="230"/>
      <c r="AA4" s="230"/>
      <c r="AB4" s="465" t="s">
        <v>316</v>
      </c>
      <c r="AC4" s="465" t="s">
        <v>348</v>
      </c>
      <c r="AD4" s="465" t="s">
        <v>1</v>
      </c>
      <c r="AE4" s="465" t="s">
        <v>131</v>
      </c>
      <c r="AF4" s="465" t="s">
        <v>131</v>
      </c>
    </row>
    <row r="5" spans="1:32" ht="15.75" thickBot="1" x14ac:dyDescent="0.3">
      <c r="A5" s="469"/>
      <c r="B5" s="469" t="s">
        <v>3</v>
      </c>
      <c r="C5" s="469" t="s">
        <v>336</v>
      </c>
      <c r="D5" s="1009" t="s">
        <v>1184</v>
      </c>
      <c r="E5" s="1272">
        <v>44459</v>
      </c>
      <c r="F5" s="600" t="s">
        <v>1323</v>
      </c>
      <c r="G5" s="1009" t="s">
        <v>1184</v>
      </c>
      <c r="H5" s="1009" t="s">
        <v>1335</v>
      </c>
      <c r="I5" s="1112" t="s">
        <v>1355</v>
      </c>
      <c r="J5" s="1224" t="s">
        <v>1341</v>
      </c>
      <c r="K5" s="1101">
        <v>44305</v>
      </c>
      <c r="L5" s="469" t="s">
        <v>314</v>
      </c>
      <c r="M5" s="469" t="s">
        <v>314</v>
      </c>
      <c r="N5" s="469" t="s">
        <v>315</v>
      </c>
      <c r="O5" s="470" t="s">
        <v>315</v>
      </c>
      <c r="P5" s="470" t="s">
        <v>0</v>
      </c>
      <c r="Q5" s="470" t="s">
        <v>120</v>
      </c>
      <c r="R5" s="470" t="s">
        <v>121</v>
      </c>
      <c r="S5" s="470" t="s">
        <v>122</v>
      </c>
      <c r="T5" s="470" t="s">
        <v>123</v>
      </c>
      <c r="U5" s="470" t="s">
        <v>124</v>
      </c>
      <c r="V5" s="470" t="s">
        <v>125</v>
      </c>
      <c r="W5" s="470" t="s">
        <v>126</v>
      </c>
      <c r="X5" s="470" t="s">
        <v>127</v>
      </c>
      <c r="Y5" s="470" t="s">
        <v>128</v>
      </c>
      <c r="Z5" s="470" t="s">
        <v>129</v>
      </c>
      <c r="AA5" s="470" t="s">
        <v>130</v>
      </c>
      <c r="AB5" s="470" t="s">
        <v>317</v>
      </c>
      <c r="AC5" s="470" t="s">
        <v>315</v>
      </c>
      <c r="AD5" s="470" t="s">
        <v>317</v>
      </c>
      <c r="AE5" s="470" t="s">
        <v>314</v>
      </c>
      <c r="AF5" s="470" t="s">
        <v>132</v>
      </c>
    </row>
    <row r="6" spans="1:32" ht="15.75" thickTop="1" x14ac:dyDescent="0.25">
      <c r="A6" s="463" t="s">
        <v>735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</row>
    <row r="7" spans="1:32" x14ac:dyDescent="0.25">
      <c r="A7" s="538" t="s">
        <v>658</v>
      </c>
      <c r="B7" s="476"/>
      <c r="C7" s="99"/>
      <c r="D7" s="929"/>
      <c r="E7" s="929"/>
      <c r="F7" s="929"/>
      <c r="G7" s="929"/>
      <c r="H7" s="929"/>
      <c r="I7" s="929"/>
      <c r="J7" s="929"/>
      <c r="K7" s="92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718"/>
      <c r="AE7" s="43"/>
      <c r="AF7" s="99"/>
    </row>
    <row r="8" spans="1:32" x14ac:dyDescent="0.25">
      <c r="A8" s="539" t="s">
        <v>1218</v>
      </c>
      <c r="B8" s="168" t="s">
        <v>6</v>
      </c>
      <c r="C8" s="217">
        <v>3018314</v>
      </c>
      <c r="D8" s="217"/>
      <c r="E8" s="217">
        <f>-82354</f>
        <v>-82354</v>
      </c>
      <c r="F8" s="217">
        <f>-164708</f>
        <v>-164708</v>
      </c>
      <c r="G8" s="217"/>
      <c r="H8" s="217"/>
      <c r="I8" s="217"/>
      <c r="J8" s="217">
        <f>-329416</f>
        <v>-329416</v>
      </c>
      <c r="K8" s="217"/>
      <c r="L8" s="58">
        <f>SUM(C8:K8)</f>
        <v>2441836</v>
      </c>
      <c r="M8" s="58">
        <f>L8/12*9</f>
        <v>1831377</v>
      </c>
      <c r="N8" s="58">
        <f>L8/12</f>
        <v>203486.33333333334</v>
      </c>
      <c r="O8" s="43">
        <f>M8+N8</f>
        <v>2034863.3333333333</v>
      </c>
      <c r="P8" s="164">
        <v>162612</v>
      </c>
      <c r="Q8" s="164">
        <v>162612</v>
      </c>
      <c r="R8" s="164">
        <v>162675</v>
      </c>
      <c r="S8" s="164">
        <v>187842</v>
      </c>
      <c r="T8" s="164">
        <v>169017</v>
      </c>
      <c r="U8" s="164">
        <v>169017</v>
      </c>
      <c r="V8" s="164">
        <v>169327.88</v>
      </c>
      <c r="W8" s="164">
        <v>169338</v>
      </c>
      <c r="X8" s="164">
        <v>169338</v>
      </c>
      <c r="Y8" s="164">
        <v>169338</v>
      </c>
      <c r="Z8" s="164"/>
      <c r="AA8" s="164"/>
      <c r="AB8" s="164">
        <f>P8+Q8+R8+S8+T8+U8+V8+W8+X8</f>
        <v>1521778.88</v>
      </c>
      <c r="AC8" s="90">
        <f>Y8</f>
        <v>169338</v>
      </c>
      <c r="AD8" s="718">
        <f>AB8+AC8</f>
        <v>1691116.88</v>
      </c>
      <c r="AE8" s="43">
        <f>O8-AD8</f>
        <v>343746.45333333337</v>
      </c>
      <c r="AF8" s="475">
        <f>L8-AD8</f>
        <v>750719.12000000011</v>
      </c>
    </row>
    <row r="9" spans="1:32" hidden="1" x14ac:dyDescent="0.25">
      <c r="A9" s="540" t="s">
        <v>660</v>
      </c>
      <c r="B9" s="168"/>
      <c r="C9" s="217">
        <v>3018315</v>
      </c>
      <c r="D9" s="217"/>
      <c r="E9" s="217"/>
      <c r="F9" s="217">
        <f>-164708</f>
        <v>-164708</v>
      </c>
      <c r="G9" s="217"/>
      <c r="H9" s="217"/>
      <c r="I9" s="217"/>
      <c r="J9" s="217"/>
      <c r="K9" s="217"/>
      <c r="L9" s="666">
        <f t="shared" ref="L9:L30" si="0">SUM(C9:K9)</f>
        <v>2853607</v>
      </c>
      <c r="M9" s="666">
        <f t="shared" ref="M9" si="1">L9/12*7</f>
        <v>1664604.0833333335</v>
      </c>
      <c r="N9" s="666">
        <f t="shared" ref="N9:N13" si="2">L9/12</f>
        <v>237800.58333333334</v>
      </c>
      <c r="O9" s="718">
        <f t="shared" ref="O9:O13" si="3">M9+N9</f>
        <v>1902404.6666666667</v>
      </c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>
        <f t="shared" ref="AB9:AB30" si="4">P9+Q9+R9+S9+T9+U9+V9+W9+X9</f>
        <v>0</v>
      </c>
      <c r="AC9" s="673">
        <f t="shared" ref="AC9:AC30" si="5">Y9</f>
        <v>0</v>
      </c>
      <c r="AD9" s="718">
        <f t="shared" ref="AD9:AD29" si="6">AB9+AC9</f>
        <v>0</v>
      </c>
      <c r="AE9" s="718">
        <f t="shared" ref="AE9:AE29" si="7">O9-AD9</f>
        <v>1902404.6666666667</v>
      </c>
      <c r="AF9" s="475">
        <f t="shared" ref="AF9:AF29" si="8">L9-AD9</f>
        <v>2853607</v>
      </c>
    </row>
    <row r="10" spans="1:32" x14ac:dyDescent="0.25">
      <c r="A10" s="541" t="s">
        <v>661</v>
      </c>
      <c r="B10" s="473"/>
      <c r="C10" s="217"/>
      <c r="D10" s="217"/>
      <c r="E10" s="217"/>
      <c r="F10" s="217"/>
      <c r="G10" s="217"/>
      <c r="H10" s="217"/>
      <c r="I10" s="217"/>
      <c r="J10" s="217"/>
      <c r="K10" s="217"/>
      <c r="L10" s="666">
        <f t="shared" si="0"/>
        <v>0</v>
      </c>
      <c r="M10" s="666">
        <f t="shared" ref="M10:M30" si="9">L10/12*9</f>
        <v>0</v>
      </c>
      <c r="N10" s="666">
        <f t="shared" si="2"/>
        <v>0</v>
      </c>
      <c r="O10" s="718">
        <f t="shared" si="3"/>
        <v>0</v>
      </c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>
        <f t="shared" si="4"/>
        <v>0</v>
      </c>
      <c r="AC10" s="673">
        <f t="shared" si="5"/>
        <v>0</v>
      </c>
      <c r="AD10" s="718">
        <f t="shared" si="6"/>
        <v>0</v>
      </c>
      <c r="AE10" s="718">
        <f t="shared" si="7"/>
        <v>0</v>
      </c>
      <c r="AF10" s="475">
        <f t="shared" si="8"/>
        <v>0</v>
      </c>
    </row>
    <row r="11" spans="1:32" x14ac:dyDescent="0.25">
      <c r="A11" s="540" t="s">
        <v>662</v>
      </c>
      <c r="B11" s="46" t="s">
        <v>11</v>
      </c>
      <c r="C11" s="542">
        <v>264000</v>
      </c>
      <c r="D11" s="542"/>
      <c r="E11" s="542">
        <f>-4000</f>
        <v>-4000</v>
      </c>
      <c r="F11" s="542">
        <f>-8000</f>
        <v>-8000</v>
      </c>
      <c r="G11" s="542"/>
      <c r="H11" s="542"/>
      <c r="I11" s="542"/>
      <c r="J11" s="542">
        <f>-16000</f>
        <v>-16000</v>
      </c>
      <c r="K11" s="542"/>
      <c r="L11" s="666">
        <f t="shared" si="0"/>
        <v>236000</v>
      </c>
      <c r="M11" s="666">
        <f t="shared" si="9"/>
        <v>177000</v>
      </c>
      <c r="N11" s="666">
        <f t="shared" si="2"/>
        <v>19666.666666666668</v>
      </c>
      <c r="O11" s="718">
        <f t="shared" si="3"/>
        <v>196666.66666666666</v>
      </c>
      <c r="P11" s="164">
        <v>18000</v>
      </c>
      <c r="Q11" s="164">
        <v>18000</v>
      </c>
      <c r="R11" s="164">
        <v>18000</v>
      </c>
      <c r="S11" s="164">
        <v>18000</v>
      </c>
      <c r="T11" s="164">
        <v>18000</v>
      </c>
      <c r="U11" s="164">
        <v>18000</v>
      </c>
      <c r="V11" s="164">
        <v>18000</v>
      </c>
      <c r="W11" s="164">
        <v>18000</v>
      </c>
      <c r="X11" s="164">
        <v>18000</v>
      </c>
      <c r="Y11" s="164">
        <v>18000</v>
      </c>
      <c r="Z11" s="164"/>
      <c r="AA11" s="164"/>
      <c r="AB11" s="164">
        <f t="shared" si="4"/>
        <v>162000</v>
      </c>
      <c r="AC11" s="673">
        <f t="shared" si="5"/>
        <v>18000</v>
      </c>
      <c r="AD11" s="718">
        <f t="shared" si="6"/>
        <v>180000</v>
      </c>
      <c r="AE11" s="718">
        <f t="shared" si="7"/>
        <v>16666.666666666657</v>
      </c>
      <c r="AF11" s="475">
        <f t="shared" si="8"/>
        <v>56000</v>
      </c>
    </row>
    <row r="12" spans="1:32" x14ac:dyDescent="0.25">
      <c r="A12" s="540" t="s">
        <v>663</v>
      </c>
      <c r="B12" s="543" t="s">
        <v>13</v>
      </c>
      <c r="C12" s="542">
        <v>120000</v>
      </c>
      <c r="D12" s="542"/>
      <c r="E12" s="542">
        <f>-6000</f>
        <v>-6000</v>
      </c>
      <c r="F12" s="542">
        <f>-12000</f>
        <v>-12000</v>
      </c>
      <c r="G12" s="542"/>
      <c r="H12" s="542"/>
      <c r="I12" s="542"/>
      <c r="J12" s="542"/>
      <c r="K12" s="542"/>
      <c r="L12" s="666">
        <f t="shared" si="0"/>
        <v>102000</v>
      </c>
      <c r="M12" s="666">
        <f t="shared" si="9"/>
        <v>76500</v>
      </c>
      <c r="N12" s="666">
        <f t="shared" si="2"/>
        <v>8500</v>
      </c>
      <c r="O12" s="718">
        <f t="shared" si="3"/>
        <v>85000</v>
      </c>
      <c r="P12" s="164">
        <v>6000</v>
      </c>
      <c r="Q12" s="164">
        <v>6000</v>
      </c>
      <c r="R12" s="164">
        <v>6000</v>
      </c>
      <c r="S12" s="164">
        <v>6000</v>
      </c>
      <c r="T12" s="164">
        <v>6000</v>
      </c>
      <c r="U12" s="164">
        <v>6000</v>
      </c>
      <c r="V12" s="164">
        <v>6000</v>
      </c>
      <c r="W12" s="164">
        <v>6000</v>
      </c>
      <c r="X12" s="164">
        <v>6000</v>
      </c>
      <c r="Y12" s="164">
        <v>6000</v>
      </c>
      <c r="Z12" s="164"/>
      <c r="AA12" s="164"/>
      <c r="AB12" s="164">
        <f t="shared" si="4"/>
        <v>54000</v>
      </c>
      <c r="AC12" s="673">
        <f t="shared" si="5"/>
        <v>6000</v>
      </c>
      <c r="AD12" s="718">
        <f t="shared" si="6"/>
        <v>60000</v>
      </c>
      <c r="AE12" s="718">
        <f t="shared" si="7"/>
        <v>25000</v>
      </c>
      <c r="AF12" s="475">
        <f t="shared" si="8"/>
        <v>42000</v>
      </c>
    </row>
    <row r="13" spans="1:32" x14ac:dyDescent="0.25">
      <c r="A13" s="540" t="s">
        <v>664</v>
      </c>
      <c r="B13" s="544" t="s">
        <v>15</v>
      </c>
      <c r="C13" s="542">
        <v>120000</v>
      </c>
      <c r="D13" s="542"/>
      <c r="E13" s="542">
        <f>-6000</f>
        <v>-6000</v>
      </c>
      <c r="F13" s="542">
        <f>-12000</f>
        <v>-12000</v>
      </c>
      <c r="G13" s="542"/>
      <c r="H13" s="542"/>
      <c r="I13" s="542"/>
      <c r="J13" s="542"/>
      <c r="K13" s="542"/>
      <c r="L13" s="666">
        <f t="shared" si="0"/>
        <v>102000</v>
      </c>
      <c r="M13" s="666">
        <f t="shared" si="9"/>
        <v>76500</v>
      </c>
      <c r="N13" s="666">
        <f t="shared" si="2"/>
        <v>8500</v>
      </c>
      <c r="O13" s="718">
        <f t="shared" si="3"/>
        <v>85000</v>
      </c>
      <c r="P13" s="164">
        <v>6000</v>
      </c>
      <c r="Q13" s="164">
        <v>6000</v>
      </c>
      <c r="R13" s="164">
        <v>6000</v>
      </c>
      <c r="S13" s="164">
        <v>6000</v>
      </c>
      <c r="T13" s="164">
        <v>6000</v>
      </c>
      <c r="U13" s="164">
        <v>6000</v>
      </c>
      <c r="V13" s="164">
        <v>6000</v>
      </c>
      <c r="W13" s="164">
        <v>6000</v>
      </c>
      <c r="X13" s="164">
        <v>6000</v>
      </c>
      <c r="Y13" s="164">
        <v>6000</v>
      </c>
      <c r="Z13" s="164"/>
      <c r="AA13" s="164"/>
      <c r="AB13" s="164">
        <f t="shared" si="4"/>
        <v>54000</v>
      </c>
      <c r="AC13" s="673">
        <f t="shared" si="5"/>
        <v>6000</v>
      </c>
      <c r="AD13" s="718">
        <f t="shared" si="6"/>
        <v>60000</v>
      </c>
      <c r="AE13" s="718">
        <f t="shared" si="7"/>
        <v>25000</v>
      </c>
      <c r="AF13" s="475">
        <f t="shared" si="8"/>
        <v>42000</v>
      </c>
    </row>
    <row r="14" spans="1:32" x14ac:dyDescent="0.25">
      <c r="A14" s="540" t="s">
        <v>665</v>
      </c>
      <c r="B14" s="46" t="s">
        <v>17</v>
      </c>
      <c r="C14" s="542">
        <v>66000</v>
      </c>
      <c r="D14" s="542"/>
      <c r="E14" s="542"/>
      <c r="F14" s="542"/>
      <c r="G14" s="542"/>
      <c r="H14" s="542"/>
      <c r="I14" s="542"/>
      <c r="J14" s="542"/>
      <c r="K14" s="542"/>
      <c r="L14" s="666">
        <f t="shared" si="0"/>
        <v>66000</v>
      </c>
      <c r="M14" s="666">
        <f>L14/12*11</f>
        <v>60500</v>
      </c>
      <c r="N14" s="666">
        <f t="shared" ref="N14:N20" si="10">L14/12</f>
        <v>5500</v>
      </c>
      <c r="O14" s="718">
        <f t="shared" ref="O14:O20" si="11">M14+N14</f>
        <v>66000</v>
      </c>
      <c r="P14" s="164">
        <v>36000</v>
      </c>
      <c r="Q14" s="164"/>
      <c r="R14" s="164"/>
      <c r="S14" s="164"/>
      <c r="T14" s="164"/>
      <c r="U14" s="164"/>
      <c r="V14" s="164"/>
      <c r="W14" s="164"/>
      <c r="X14" s="164"/>
      <c r="Y14" s="1287">
        <v>7425</v>
      </c>
      <c r="Z14" s="164"/>
      <c r="AA14" s="164"/>
      <c r="AB14" s="164">
        <f t="shared" si="4"/>
        <v>36000</v>
      </c>
      <c r="AC14" s="673">
        <f t="shared" si="5"/>
        <v>7425</v>
      </c>
      <c r="AD14" s="718">
        <f t="shared" si="6"/>
        <v>43425</v>
      </c>
      <c r="AE14" s="718">
        <f t="shared" si="7"/>
        <v>22575</v>
      </c>
      <c r="AF14" s="475">
        <f t="shared" si="8"/>
        <v>22575</v>
      </c>
    </row>
    <row r="15" spans="1:32" x14ac:dyDescent="0.25">
      <c r="A15" s="540" t="s">
        <v>666</v>
      </c>
      <c r="B15" s="46" t="s">
        <v>21</v>
      </c>
      <c r="C15" s="1295"/>
      <c r="D15" s="217"/>
      <c r="E15" s="542"/>
      <c r="F15" s="542"/>
      <c r="G15" s="542"/>
      <c r="H15" s="542"/>
      <c r="I15" s="542"/>
      <c r="J15" s="542"/>
      <c r="K15" s="542"/>
      <c r="L15" s="666">
        <f t="shared" si="0"/>
        <v>0</v>
      </c>
      <c r="M15" s="666">
        <f t="shared" si="9"/>
        <v>0</v>
      </c>
      <c r="N15" s="666">
        <f t="shared" si="10"/>
        <v>0</v>
      </c>
      <c r="O15" s="718">
        <f t="shared" si="11"/>
        <v>0</v>
      </c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>
        <f t="shared" si="4"/>
        <v>0</v>
      </c>
      <c r="AC15" s="673">
        <f t="shared" si="5"/>
        <v>0</v>
      </c>
      <c r="AD15" s="718">
        <f t="shared" si="6"/>
        <v>0</v>
      </c>
      <c r="AE15" s="718">
        <f t="shared" si="7"/>
        <v>0</v>
      </c>
      <c r="AF15" s="475">
        <f t="shared" si="8"/>
        <v>0</v>
      </c>
    </row>
    <row r="16" spans="1:32" x14ac:dyDescent="0.25">
      <c r="A16" s="540" t="s">
        <v>715</v>
      </c>
      <c r="B16" s="46" t="s">
        <v>243</v>
      </c>
      <c r="C16" s="1295">
        <v>150000</v>
      </c>
      <c r="D16" s="217"/>
      <c r="E16" s="542"/>
      <c r="F16" s="542"/>
      <c r="G16" s="542"/>
      <c r="H16" s="542"/>
      <c r="I16" s="542"/>
      <c r="J16" s="542"/>
      <c r="K16" s="542"/>
      <c r="L16" s="666">
        <f t="shared" si="0"/>
        <v>150000</v>
      </c>
      <c r="M16" s="666">
        <f t="shared" si="9"/>
        <v>112500</v>
      </c>
      <c r="N16" s="666">
        <f t="shared" si="10"/>
        <v>12500</v>
      </c>
      <c r="O16" s="718">
        <f t="shared" si="11"/>
        <v>125000</v>
      </c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>
        <f t="shared" si="4"/>
        <v>0</v>
      </c>
      <c r="AC16" s="673">
        <f t="shared" si="5"/>
        <v>0</v>
      </c>
      <c r="AD16" s="718">
        <f t="shared" si="6"/>
        <v>0</v>
      </c>
      <c r="AE16" s="718">
        <f t="shared" si="7"/>
        <v>125000</v>
      </c>
      <c r="AF16" s="475">
        <f t="shared" si="8"/>
        <v>150000</v>
      </c>
    </row>
    <row r="17" spans="1:32" x14ac:dyDescent="0.25">
      <c r="A17" s="540" t="s">
        <v>667</v>
      </c>
      <c r="B17" s="543" t="s">
        <v>23</v>
      </c>
      <c r="C17" s="1295">
        <v>251792</v>
      </c>
      <c r="D17" s="217"/>
      <c r="E17" s="542"/>
      <c r="F17" s="542"/>
      <c r="G17" s="542"/>
      <c r="H17" s="542"/>
      <c r="I17" s="542"/>
      <c r="J17" s="542"/>
      <c r="K17" s="542"/>
      <c r="L17" s="666">
        <f t="shared" si="0"/>
        <v>251792</v>
      </c>
      <c r="M17" s="666">
        <f t="shared" si="9"/>
        <v>188844</v>
      </c>
      <c r="N17" s="666">
        <f t="shared" si="10"/>
        <v>20982.666666666668</v>
      </c>
      <c r="O17" s="718">
        <f t="shared" si="11"/>
        <v>209826.66666666666</v>
      </c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>
        <f t="shared" si="4"/>
        <v>0</v>
      </c>
      <c r="AC17" s="673">
        <f t="shared" si="5"/>
        <v>0</v>
      </c>
      <c r="AD17" s="718">
        <f t="shared" si="6"/>
        <v>0</v>
      </c>
      <c r="AE17" s="718">
        <f t="shared" si="7"/>
        <v>209826.66666666666</v>
      </c>
      <c r="AF17" s="475">
        <f t="shared" si="8"/>
        <v>251792</v>
      </c>
    </row>
    <row r="18" spans="1:32" x14ac:dyDescent="0.25">
      <c r="A18" s="540" t="s">
        <v>668</v>
      </c>
      <c r="B18" s="543" t="s">
        <v>26</v>
      </c>
      <c r="C18" s="1295">
        <v>55000</v>
      </c>
      <c r="D18" s="217"/>
      <c r="E18" s="542"/>
      <c r="F18" s="542"/>
      <c r="G18" s="542"/>
      <c r="H18" s="542"/>
      <c r="I18" s="542"/>
      <c r="J18" s="542"/>
      <c r="K18" s="542"/>
      <c r="L18" s="666">
        <f t="shared" si="0"/>
        <v>55000</v>
      </c>
      <c r="M18" s="666">
        <f t="shared" si="9"/>
        <v>41250</v>
      </c>
      <c r="N18" s="666">
        <f t="shared" si="10"/>
        <v>4583.333333333333</v>
      </c>
      <c r="O18" s="718">
        <f t="shared" si="11"/>
        <v>45833.333333333336</v>
      </c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>
        <f t="shared" si="4"/>
        <v>0</v>
      </c>
      <c r="AC18" s="673">
        <f t="shared" si="5"/>
        <v>0</v>
      </c>
      <c r="AD18" s="718">
        <f t="shared" si="6"/>
        <v>0</v>
      </c>
      <c r="AE18" s="718">
        <f t="shared" si="7"/>
        <v>45833.333333333336</v>
      </c>
      <c r="AF18" s="475">
        <f t="shared" si="8"/>
        <v>55000</v>
      </c>
    </row>
    <row r="19" spans="1:32" x14ac:dyDescent="0.25">
      <c r="A19" s="545" t="s">
        <v>669</v>
      </c>
      <c r="B19" s="543" t="s">
        <v>27</v>
      </c>
      <c r="D19" s="929"/>
      <c r="G19" s="929"/>
      <c r="H19" s="929"/>
      <c r="I19" s="929"/>
      <c r="J19" s="929"/>
      <c r="K19" s="929"/>
      <c r="L19" s="666">
        <f t="shared" si="0"/>
        <v>0</v>
      </c>
      <c r="M19" s="666">
        <f t="shared" si="9"/>
        <v>0</v>
      </c>
      <c r="N19" s="666">
        <f t="shared" si="10"/>
        <v>0</v>
      </c>
      <c r="O19" s="718">
        <f t="shared" si="11"/>
        <v>0</v>
      </c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>
        <f t="shared" si="4"/>
        <v>0</v>
      </c>
      <c r="AC19" s="673">
        <f t="shared" si="5"/>
        <v>0</v>
      </c>
      <c r="AD19" s="718">
        <f t="shared" si="6"/>
        <v>0</v>
      </c>
      <c r="AE19" s="718">
        <f t="shared" si="7"/>
        <v>0</v>
      </c>
      <c r="AF19" s="475">
        <f t="shared" si="8"/>
        <v>0</v>
      </c>
    </row>
    <row r="20" spans="1:32" x14ac:dyDescent="0.25">
      <c r="A20" s="546" t="s">
        <v>670</v>
      </c>
      <c r="B20" s="168"/>
      <c r="C20" s="1296">
        <v>251239</v>
      </c>
      <c r="D20" s="217"/>
      <c r="E20" s="542"/>
      <c r="F20" s="217"/>
      <c r="G20" s="217"/>
      <c r="H20" s="217"/>
      <c r="I20" s="217"/>
      <c r="J20" s="217"/>
      <c r="K20" s="217"/>
      <c r="L20" s="666">
        <f t="shared" si="0"/>
        <v>251239</v>
      </c>
      <c r="M20" s="666">
        <f t="shared" si="9"/>
        <v>188429.25</v>
      </c>
      <c r="N20" s="666">
        <f t="shared" si="10"/>
        <v>20936.583333333332</v>
      </c>
      <c r="O20" s="718">
        <f t="shared" si="11"/>
        <v>209365.83333333334</v>
      </c>
      <c r="P20" s="164"/>
      <c r="Q20" s="164"/>
      <c r="R20" s="164"/>
      <c r="S20" s="164"/>
      <c r="T20" s="164">
        <v>169017</v>
      </c>
      <c r="U20" s="164"/>
      <c r="V20" s="164"/>
      <c r="W20" s="164"/>
      <c r="X20" s="164"/>
      <c r="Y20" s="164"/>
      <c r="Z20" s="164"/>
      <c r="AA20" s="164"/>
      <c r="AB20" s="164">
        <f t="shared" si="4"/>
        <v>169017</v>
      </c>
      <c r="AC20" s="673">
        <f t="shared" si="5"/>
        <v>0</v>
      </c>
      <c r="AD20" s="718">
        <f t="shared" si="6"/>
        <v>169017</v>
      </c>
      <c r="AE20" s="718">
        <f t="shared" si="7"/>
        <v>40348.833333333343</v>
      </c>
      <c r="AF20" s="475">
        <f t="shared" si="8"/>
        <v>82222</v>
      </c>
    </row>
    <row r="21" spans="1:32" x14ac:dyDescent="0.25">
      <c r="A21" s="546" t="s">
        <v>671</v>
      </c>
      <c r="B21" s="476"/>
      <c r="C21" s="1296">
        <v>55000</v>
      </c>
      <c r="D21" s="217"/>
      <c r="E21" s="542"/>
      <c r="F21" s="217"/>
      <c r="G21" s="217"/>
      <c r="H21" s="217"/>
      <c r="I21" s="217"/>
      <c r="J21" s="217"/>
      <c r="K21" s="217"/>
      <c r="L21" s="666">
        <f t="shared" si="0"/>
        <v>55000</v>
      </c>
      <c r="M21" s="666">
        <f t="shared" si="9"/>
        <v>41250</v>
      </c>
      <c r="N21" s="666">
        <f t="shared" ref="N21:N30" si="12">L21/12</f>
        <v>4583.333333333333</v>
      </c>
      <c r="O21" s="718">
        <f t="shared" ref="O21:O30" si="13">M21+N21</f>
        <v>45833.333333333336</v>
      </c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>
        <f t="shared" si="4"/>
        <v>0</v>
      </c>
      <c r="AC21" s="673">
        <f t="shared" si="5"/>
        <v>0</v>
      </c>
      <c r="AD21" s="718">
        <f t="shared" si="6"/>
        <v>0</v>
      </c>
      <c r="AE21" s="718">
        <f t="shared" si="7"/>
        <v>45833.333333333336</v>
      </c>
      <c r="AF21" s="475">
        <f t="shared" si="8"/>
        <v>55000</v>
      </c>
    </row>
    <row r="22" spans="1:32" x14ac:dyDescent="0.25">
      <c r="A22" s="546" t="s">
        <v>725</v>
      </c>
      <c r="B22" s="168"/>
      <c r="C22" s="1296"/>
      <c r="D22" s="217"/>
      <c r="E22" s="542"/>
      <c r="F22" s="217"/>
      <c r="G22" s="217"/>
      <c r="H22" s="217"/>
      <c r="I22" s="217"/>
      <c r="J22" s="217"/>
      <c r="K22" s="217"/>
      <c r="L22" s="666">
        <f t="shared" si="0"/>
        <v>0</v>
      </c>
      <c r="M22" s="666">
        <f t="shared" si="9"/>
        <v>0</v>
      </c>
      <c r="N22" s="666">
        <f t="shared" si="12"/>
        <v>0</v>
      </c>
      <c r="O22" s="718">
        <f t="shared" si="13"/>
        <v>0</v>
      </c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>
        <f t="shared" si="4"/>
        <v>0</v>
      </c>
      <c r="AC22" s="673">
        <f t="shared" si="5"/>
        <v>0</v>
      </c>
      <c r="AD22" s="718">
        <f t="shared" si="6"/>
        <v>0</v>
      </c>
      <c r="AE22" s="718">
        <f t="shared" si="7"/>
        <v>0</v>
      </c>
      <c r="AF22" s="475">
        <f t="shared" si="8"/>
        <v>0</v>
      </c>
    </row>
    <row r="23" spans="1:32" x14ac:dyDescent="0.25">
      <c r="A23" s="546" t="s">
        <v>673</v>
      </c>
      <c r="B23" s="168"/>
      <c r="C23" s="1296"/>
      <c r="D23" s="217"/>
      <c r="E23" s="542"/>
      <c r="F23" s="217"/>
      <c r="G23" s="217"/>
      <c r="H23" s="217"/>
      <c r="I23" s="217"/>
      <c r="J23" s="217"/>
      <c r="K23" s="217"/>
      <c r="L23" s="666">
        <f t="shared" si="0"/>
        <v>0</v>
      </c>
      <c r="M23" s="666">
        <f t="shared" si="9"/>
        <v>0</v>
      </c>
      <c r="N23" s="666">
        <f t="shared" si="12"/>
        <v>0</v>
      </c>
      <c r="O23" s="718">
        <f t="shared" si="13"/>
        <v>0</v>
      </c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>
        <f t="shared" si="4"/>
        <v>0</v>
      </c>
      <c r="AC23" s="673">
        <f t="shared" si="5"/>
        <v>0</v>
      </c>
      <c r="AD23" s="718">
        <f t="shared" si="6"/>
        <v>0</v>
      </c>
      <c r="AE23" s="718">
        <f t="shared" si="7"/>
        <v>0</v>
      </c>
      <c r="AF23" s="475">
        <f t="shared" si="8"/>
        <v>0</v>
      </c>
    </row>
    <row r="24" spans="1:32" x14ac:dyDescent="0.25">
      <c r="A24" s="546" t="s">
        <v>674</v>
      </c>
      <c r="B24" s="168"/>
      <c r="C24" s="1297"/>
      <c r="D24" s="211"/>
      <c r="E24" s="1298"/>
      <c r="F24" s="211"/>
      <c r="G24" s="211"/>
      <c r="H24" s="211"/>
      <c r="I24" s="211"/>
      <c r="J24" s="211"/>
      <c r="K24" s="211"/>
      <c r="L24" s="666">
        <f t="shared" si="0"/>
        <v>0</v>
      </c>
      <c r="M24" s="666">
        <f t="shared" si="9"/>
        <v>0</v>
      </c>
      <c r="N24" s="666">
        <f t="shared" si="12"/>
        <v>0</v>
      </c>
      <c r="O24" s="718">
        <f t="shared" si="13"/>
        <v>0</v>
      </c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>
        <f t="shared" si="4"/>
        <v>0</v>
      </c>
      <c r="AC24" s="673">
        <f t="shared" si="5"/>
        <v>0</v>
      </c>
      <c r="AD24" s="718">
        <f t="shared" si="6"/>
        <v>0</v>
      </c>
      <c r="AE24" s="718">
        <f t="shared" si="7"/>
        <v>0</v>
      </c>
      <c r="AF24" s="475">
        <f t="shared" si="8"/>
        <v>0</v>
      </c>
    </row>
    <row r="25" spans="1:32" x14ac:dyDescent="0.25">
      <c r="A25" s="545" t="s">
        <v>370</v>
      </c>
      <c r="B25" s="168"/>
      <c r="C25" s="1296"/>
      <c r="D25" s="217"/>
      <c r="E25" s="542"/>
      <c r="F25" s="217"/>
      <c r="G25" s="217"/>
      <c r="H25" s="217"/>
      <c r="I25" s="217"/>
      <c r="J25" s="217"/>
      <c r="K25" s="217"/>
      <c r="L25" s="666">
        <f t="shared" si="0"/>
        <v>0</v>
      </c>
      <c r="M25" s="666">
        <f t="shared" si="9"/>
        <v>0</v>
      </c>
      <c r="N25" s="666">
        <f t="shared" si="12"/>
        <v>0</v>
      </c>
      <c r="O25" s="718">
        <f t="shared" si="13"/>
        <v>0</v>
      </c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>
        <f t="shared" si="4"/>
        <v>0</v>
      </c>
      <c r="AC25" s="673">
        <f t="shared" si="5"/>
        <v>0</v>
      </c>
      <c r="AD25" s="718">
        <f t="shared" si="6"/>
        <v>0</v>
      </c>
      <c r="AE25" s="718">
        <f t="shared" si="7"/>
        <v>0</v>
      </c>
      <c r="AF25" s="475">
        <f t="shared" si="8"/>
        <v>0</v>
      </c>
    </row>
    <row r="26" spans="1:32" x14ac:dyDescent="0.25">
      <c r="A26" s="540" t="s">
        <v>675</v>
      </c>
      <c r="B26" s="547" t="s">
        <v>29</v>
      </c>
      <c r="C26" s="1296">
        <v>362197.68</v>
      </c>
      <c r="D26" s="217"/>
      <c r="E26" s="542">
        <f>-9882.48</f>
        <v>-9882.48</v>
      </c>
      <c r="F26" s="217">
        <f>-19764.96</f>
        <v>-19764.96</v>
      </c>
      <c r="G26" s="217"/>
      <c r="H26" s="217"/>
      <c r="I26" s="217"/>
      <c r="J26" s="217">
        <f>-39529.92</f>
        <v>-39529.919999999998</v>
      </c>
      <c r="K26" s="217"/>
      <c r="L26" s="666">
        <f t="shared" si="0"/>
        <v>293020.32</v>
      </c>
      <c r="M26" s="666">
        <f t="shared" si="9"/>
        <v>219765.24</v>
      </c>
      <c r="N26" s="666">
        <f t="shared" si="12"/>
        <v>24418.36</v>
      </c>
      <c r="O26" s="718">
        <f t="shared" si="13"/>
        <v>244183.59999999998</v>
      </c>
      <c r="P26" s="776">
        <v>19513.439999999999</v>
      </c>
      <c r="Q26" s="776">
        <v>19513.439999999999</v>
      </c>
      <c r="R26" s="1087">
        <v>19528.560000000001</v>
      </c>
      <c r="S26" s="164">
        <v>22541.040000000001</v>
      </c>
      <c r="T26" s="1162">
        <v>20282.04</v>
      </c>
      <c r="U26" s="1170">
        <v>20282.04</v>
      </c>
      <c r="V26" s="1200">
        <v>20317.900000000001</v>
      </c>
      <c r="W26" s="1254">
        <v>20320.560000000001</v>
      </c>
      <c r="X26" s="1257">
        <v>20320.560000000001</v>
      </c>
      <c r="Y26" s="1288">
        <v>20320.560000000001</v>
      </c>
      <c r="Z26" s="164"/>
      <c r="AA26" s="164"/>
      <c r="AB26" s="164">
        <f t="shared" si="4"/>
        <v>182619.58000000002</v>
      </c>
      <c r="AC26" s="673">
        <f t="shared" si="5"/>
        <v>20320.560000000001</v>
      </c>
      <c r="AD26" s="718">
        <f t="shared" si="6"/>
        <v>202940.14</v>
      </c>
      <c r="AE26" s="718">
        <f t="shared" si="7"/>
        <v>41243.459999999963</v>
      </c>
      <c r="AF26" s="475">
        <f t="shared" si="8"/>
        <v>90080.18</v>
      </c>
    </row>
    <row r="27" spans="1:32" x14ac:dyDescent="0.25">
      <c r="A27" s="540" t="s">
        <v>676</v>
      </c>
      <c r="B27" s="547" t="s">
        <v>31</v>
      </c>
      <c r="C27" s="217">
        <v>60366.28</v>
      </c>
      <c r="D27" s="217"/>
      <c r="E27" s="217">
        <f>-1647.08</f>
        <v>-1647.08</v>
      </c>
      <c r="F27" s="217">
        <f>-3294.16</f>
        <v>-3294.16</v>
      </c>
      <c r="G27" s="217"/>
      <c r="H27" s="217"/>
      <c r="I27" s="217"/>
      <c r="J27" s="217"/>
      <c r="K27" s="217"/>
      <c r="L27" s="666">
        <f t="shared" si="0"/>
        <v>55425.039999999994</v>
      </c>
      <c r="M27" s="666">
        <f t="shared" si="9"/>
        <v>41568.78</v>
      </c>
      <c r="N27" s="666">
        <f t="shared" si="12"/>
        <v>4618.7533333333331</v>
      </c>
      <c r="O27" s="718">
        <f t="shared" si="13"/>
        <v>46187.533333333333</v>
      </c>
      <c r="P27" s="776">
        <v>3252.24</v>
      </c>
      <c r="Q27" s="776">
        <v>3252.24</v>
      </c>
      <c r="R27" s="1087">
        <v>3254.76</v>
      </c>
      <c r="S27" s="164">
        <v>3756.84</v>
      </c>
      <c r="T27" s="1162">
        <v>3380.34</v>
      </c>
      <c r="U27" s="1170">
        <v>3380.34</v>
      </c>
      <c r="V27" s="1200">
        <v>3386</v>
      </c>
      <c r="W27" s="1254">
        <v>3386.76</v>
      </c>
      <c r="X27" s="1257">
        <v>2540.08</v>
      </c>
      <c r="Y27" s="1288">
        <v>3386.76</v>
      </c>
      <c r="Z27" s="164"/>
      <c r="AA27" s="164"/>
      <c r="AB27" s="164">
        <f t="shared" si="4"/>
        <v>29589.599999999999</v>
      </c>
      <c r="AC27" s="673">
        <f t="shared" si="5"/>
        <v>3386.76</v>
      </c>
      <c r="AD27" s="718">
        <f t="shared" si="6"/>
        <v>32976.36</v>
      </c>
      <c r="AE27" s="718">
        <f t="shared" si="7"/>
        <v>13211.173333333332</v>
      </c>
      <c r="AF27" s="475">
        <f t="shared" si="8"/>
        <v>22448.679999999993</v>
      </c>
    </row>
    <row r="28" spans="1:32" x14ac:dyDescent="0.25">
      <c r="A28" s="540" t="s">
        <v>677</v>
      </c>
      <c r="B28" s="547" t="s">
        <v>33</v>
      </c>
      <c r="C28" s="217">
        <v>52820.5</v>
      </c>
      <c r="D28" s="217"/>
      <c r="E28" s="217">
        <f>-1441.2</f>
        <v>-1441.2</v>
      </c>
      <c r="F28" s="217">
        <f>-2882.39</f>
        <v>-2882.39</v>
      </c>
      <c r="G28" s="217"/>
      <c r="H28" s="217"/>
      <c r="I28" s="217"/>
      <c r="J28" s="217"/>
      <c r="K28" s="217"/>
      <c r="L28" s="666">
        <f t="shared" si="0"/>
        <v>48496.91</v>
      </c>
      <c r="M28" s="666">
        <f t="shared" si="9"/>
        <v>36372.682500000003</v>
      </c>
      <c r="N28" s="666">
        <f t="shared" si="12"/>
        <v>4041.4091666666668</v>
      </c>
      <c r="O28" s="718">
        <f t="shared" si="13"/>
        <v>40414.091666666667</v>
      </c>
      <c r="P28" s="776">
        <v>2439.1999999999998</v>
      </c>
      <c r="Q28" s="776">
        <v>2439.1999999999998</v>
      </c>
      <c r="R28" s="1087">
        <v>2441.09</v>
      </c>
      <c r="S28" s="164">
        <v>2535.2600000000002</v>
      </c>
      <c r="T28" s="1162">
        <v>2535.2600000000002</v>
      </c>
      <c r="U28" s="1170">
        <v>2535.2600000000002</v>
      </c>
      <c r="V28" s="1200">
        <v>2540.08</v>
      </c>
      <c r="W28" s="1254">
        <v>2540.08</v>
      </c>
      <c r="X28" s="1257">
        <v>3386</v>
      </c>
      <c r="Y28" s="1288">
        <v>2540.08</v>
      </c>
      <c r="Z28" s="164"/>
      <c r="AA28" s="164"/>
      <c r="AB28" s="164">
        <f t="shared" si="4"/>
        <v>23391.43</v>
      </c>
      <c r="AC28" s="673">
        <f t="shared" si="5"/>
        <v>2540.08</v>
      </c>
      <c r="AD28" s="718">
        <f t="shared" si="6"/>
        <v>25931.510000000002</v>
      </c>
      <c r="AE28" s="718">
        <f t="shared" si="7"/>
        <v>14482.581666666665</v>
      </c>
      <c r="AF28" s="475">
        <f t="shared" si="8"/>
        <v>22565.4</v>
      </c>
    </row>
    <row r="29" spans="1:32" x14ac:dyDescent="0.25">
      <c r="A29" s="540" t="s">
        <v>678</v>
      </c>
      <c r="B29" s="547" t="s">
        <v>35</v>
      </c>
      <c r="C29" s="217">
        <v>13200</v>
      </c>
      <c r="D29" s="217"/>
      <c r="E29" s="217"/>
      <c r="F29" s="217"/>
      <c r="G29" s="217"/>
      <c r="H29" s="217"/>
      <c r="I29" s="217"/>
      <c r="J29" s="217"/>
      <c r="K29" s="217"/>
      <c r="L29" s="666">
        <f t="shared" si="0"/>
        <v>13200</v>
      </c>
      <c r="M29" s="666">
        <f t="shared" si="9"/>
        <v>9900</v>
      </c>
      <c r="N29" s="666">
        <f t="shared" si="12"/>
        <v>1100</v>
      </c>
      <c r="O29" s="718">
        <f t="shared" si="13"/>
        <v>11000</v>
      </c>
      <c r="P29" s="776">
        <v>900</v>
      </c>
      <c r="Q29" s="776">
        <v>900</v>
      </c>
      <c r="R29" s="1087">
        <v>900</v>
      </c>
      <c r="S29" s="164">
        <v>900</v>
      </c>
      <c r="T29" s="1162">
        <v>900</v>
      </c>
      <c r="U29" s="1170">
        <v>900</v>
      </c>
      <c r="V29" s="1200">
        <v>900</v>
      </c>
      <c r="W29" s="1254">
        <v>900</v>
      </c>
      <c r="X29" s="1257">
        <v>900</v>
      </c>
      <c r="Y29" s="1288">
        <v>900</v>
      </c>
      <c r="Z29" s="164"/>
      <c r="AA29" s="164"/>
      <c r="AB29" s="164">
        <f t="shared" si="4"/>
        <v>8100</v>
      </c>
      <c r="AC29" s="673">
        <f t="shared" si="5"/>
        <v>900</v>
      </c>
      <c r="AD29" s="718">
        <f t="shared" si="6"/>
        <v>9000</v>
      </c>
      <c r="AE29" s="718">
        <f t="shared" si="7"/>
        <v>2000</v>
      </c>
      <c r="AF29" s="475">
        <f t="shared" si="8"/>
        <v>4200</v>
      </c>
    </row>
    <row r="30" spans="1:32" x14ac:dyDescent="0.25">
      <c r="A30" s="45"/>
      <c r="B30" s="168"/>
      <c r="C30" s="58"/>
      <c r="D30" s="666"/>
      <c r="E30" s="666"/>
      <c r="F30" s="666"/>
      <c r="G30" s="666"/>
      <c r="H30" s="666"/>
      <c r="I30" s="666"/>
      <c r="J30" s="666"/>
      <c r="K30" s="666"/>
      <c r="L30" s="666">
        <f t="shared" si="0"/>
        <v>0</v>
      </c>
      <c r="M30" s="666">
        <f t="shared" si="9"/>
        <v>0</v>
      </c>
      <c r="N30" s="666">
        <f t="shared" si="12"/>
        <v>0</v>
      </c>
      <c r="O30" s="718">
        <f t="shared" si="13"/>
        <v>0</v>
      </c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>
        <f t="shared" si="4"/>
        <v>0</v>
      </c>
      <c r="AC30" s="673">
        <f t="shared" si="5"/>
        <v>0</v>
      </c>
      <c r="AD30" s="718">
        <f t="shared" ref="AD30" si="14">AB30+AC30</f>
        <v>0</v>
      </c>
      <c r="AE30" s="43">
        <f t="shared" ref="AE30" si="15">O30-AD30</f>
        <v>0</v>
      </c>
      <c r="AF30" s="475">
        <f t="shared" ref="AF30" si="16">L30-AD30</f>
        <v>0</v>
      </c>
    </row>
    <row r="31" spans="1:32" x14ac:dyDescent="0.25">
      <c r="A31" s="472" t="s">
        <v>40</v>
      </c>
      <c r="B31" s="548"/>
      <c r="C31" s="77">
        <f>SUM(C8:C30)</f>
        <v>7858244.46</v>
      </c>
      <c r="D31" s="725"/>
      <c r="E31" s="725">
        <f>SUM(E8:E30)</f>
        <v>-111324.76</v>
      </c>
      <c r="F31" s="725">
        <f>SUM(F8:F30)</f>
        <v>-387357.51</v>
      </c>
      <c r="G31" s="725">
        <f t="shared" ref="G31:AF31" si="17">SUM(G8:G30)</f>
        <v>0</v>
      </c>
      <c r="H31" s="725">
        <f t="shared" si="17"/>
        <v>0</v>
      </c>
      <c r="I31" s="725">
        <f t="shared" si="17"/>
        <v>0</v>
      </c>
      <c r="J31" s="725">
        <f t="shared" si="17"/>
        <v>-384945.91999999998</v>
      </c>
      <c r="K31" s="725">
        <f t="shared" si="17"/>
        <v>0</v>
      </c>
      <c r="L31" s="725">
        <f t="shared" si="17"/>
        <v>6974616.2700000005</v>
      </c>
      <c r="M31" s="725">
        <f t="shared" si="17"/>
        <v>4766361.0358333346</v>
      </c>
      <c r="N31" s="725">
        <f t="shared" si="17"/>
        <v>581218.02250000008</v>
      </c>
      <c r="O31" s="725">
        <f t="shared" si="17"/>
        <v>5347579.0583333317</v>
      </c>
      <c r="P31" s="725">
        <f t="shared" si="17"/>
        <v>254716.88</v>
      </c>
      <c r="Q31" s="725">
        <f t="shared" si="17"/>
        <v>218716.88</v>
      </c>
      <c r="R31" s="725">
        <f t="shared" si="17"/>
        <v>218799.41</v>
      </c>
      <c r="S31" s="725">
        <f t="shared" si="17"/>
        <v>247575.14</v>
      </c>
      <c r="T31" s="725">
        <f t="shared" si="17"/>
        <v>395131.64</v>
      </c>
      <c r="U31" s="725">
        <f t="shared" si="17"/>
        <v>226114.64</v>
      </c>
      <c r="V31" s="725">
        <f t="shared" si="17"/>
        <v>226471.86</v>
      </c>
      <c r="W31" s="725">
        <f t="shared" si="17"/>
        <v>226485.4</v>
      </c>
      <c r="X31" s="725">
        <f t="shared" si="17"/>
        <v>226484.63999999998</v>
      </c>
      <c r="Y31" s="725">
        <f t="shared" si="17"/>
        <v>233910.39999999999</v>
      </c>
      <c r="Z31" s="725">
        <f t="shared" si="17"/>
        <v>0</v>
      </c>
      <c r="AA31" s="725">
        <f t="shared" si="17"/>
        <v>0</v>
      </c>
      <c r="AB31" s="725">
        <f t="shared" si="17"/>
        <v>2240496.4900000002</v>
      </c>
      <c r="AC31" s="725">
        <f t="shared" si="17"/>
        <v>233910.39999999999</v>
      </c>
      <c r="AD31" s="725">
        <f>SUM(AD8:AD30)</f>
        <v>2474406.8899999997</v>
      </c>
      <c r="AE31" s="725">
        <f t="shared" si="17"/>
        <v>2873172.1683333335</v>
      </c>
      <c r="AF31" s="725">
        <f t="shared" si="17"/>
        <v>4500209.38</v>
      </c>
    </row>
    <row r="32" spans="1:32" x14ac:dyDescent="0.25">
      <c r="A32" s="472"/>
      <c r="B32" s="548"/>
      <c r="C32" s="77"/>
      <c r="D32" s="725"/>
      <c r="E32" s="725"/>
      <c r="F32" s="725"/>
      <c r="G32" s="725"/>
      <c r="H32" s="725"/>
      <c r="I32" s="725"/>
      <c r="J32" s="725"/>
      <c r="K32" s="725"/>
      <c r="L32" s="77"/>
      <c r="M32" s="77"/>
      <c r="N32" s="77"/>
      <c r="O32" s="43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43"/>
      <c r="AF32" s="99"/>
    </row>
    <row r="33" spans="1:32" x14ac:dyDescent="0.25">
      <c r="A33" s="472" t="s">
        <v>176</v>
      </c>
      <c r="B33" s="485"/>
      <c r="C33" s="549"/>
      <c r="D33" s="549"/>
      <c r="E33" s="549"/>
      <c r="F33" s="549"/>
      <c r="G33" s="549"/>
      <c r="H33" s="549"/>
      <c r="I33" s="549"/>
      <c r="J33" s="549"/>
      <c r="K33" s="549"/>
      <c r="L33" s="549"/>
      <c r="M33" s="549"/>
      <c r="N33" s="549"/>
      <c r="O33" s="43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164">
        <f t="shared" ref="AB33:AB57" si="18">P33+Q33+R33+S33+T33+U33+V33+W33+X33</f>
        <v>0</v>
      </c>
      <c r="AC33" s="673">
        <f t="shared" ref="AC33:AC57" si="19">Y33</f>
        <v>0</v>
      </c>
      <c r="AD33" s="718">
        <f t="shared" ref="AD33:AD57" si="20">AB33+AC33</f>
        <v>0</v>
      </c>
      <c r="AE33" s="43"/>
      <c r="AF33" s="99"/>
    </row>
    <row r="34" spans="1:32" x14ac:dyDescent="0.25">
      <c r="A34" s="61" t="s">
        <v>42</v>
      </c>
      <c r="B34" s="50" t="s">
        <v>43</v>
      </c>
      <c r="C34" s="117">
        <f>100000-22500</f>
        <v>77500</v>
      </c>
      <c r="D34" s="117">
        <f>-20000</f>
        <v>-20000</v>
      </c>
      <c r="E34" s="117"/>
      <c r="F34" s="117"/>
      <c r="G34" s="117"/>
      <c r="H34" s="117"/>
      <c r="I34" s="117"/>
      <c r="J34" s="117"/>
      <c r="K34" s="117"/>
      <c r="L34" s="666">
        <f t="shared" ref="L34:L57" si="21">SUM(C34:K34)</f>
        <v>57500</v>
      </c>
      <c r="M34" s="666">
        <f t="shared" ref="M34:M57" si="22">L34/12*9</f>
        <v>43125</v>
      </c>
      <c r="N34" s="58">
        <f t="shared" ref="N34:N45" si="23">L34/12</f>
        <v>4791.666666666667</v>
      </c>
      <c r="O34" s="43">
        <f t="shared" ref="O34:O57" si="24">M34+N34</f>
        <v>47916.666666666664</v>
      </c>
      <c r="P34" s="164">
        <v>1220</v>
      </c>
      <c r="Q34" s="164">
        <v>3850</v>
      </c>
      <c r="R34" s="164">
        <v>1695</v>
      </c>
      <c r="S34" s="164"/>
      <c r="T34" s="164"/>
      <c r="U34" s="164">
        <v>1220</v>
      </c>
      <c r="V34" s="164">
        <f>12460-1660</f>
        <v>10800</v>
      </c>
      <c r="W34" s="164">
        <v>2848</v>
      </c>
      <c r="X34" s="164">
        <v>2284</v>
      </c>
      <c r="Y34" s="164">
        <v>2560</v>
      </c>
      <c r="Z34" s="164"/>
      <c r="AA34" s="164"/>
      <c r="AB34" s="164">
        <f t="shared" si="18"/>
        <v>23917</v>
      </c>
      <c r="AC34" s="673">
        <f t="shared" si="19"/>
        <v>2560</v>
      </c>
      <c r="AD34" s="718">
        <f t="shared" si="20"/>
        <v>26477</v>
      </c>
      <c r="AE34" s="718">
        <f t="shared" ref="AE34:AE57" si="25">O34-AD34</f>
        <v>21439.666666666664</v>
      </c>
      <c r="AF34" s="475">
        <f t="shared" ref="AF34:AF57" si="26">L34-AD34</f>
        <v>31023</v>
      </c>
    </row>
    <row r="35" spans="1:32" x14ac:dyDescent="0.25">
      <c r="A35" s="61" t="s">
        <v>44</v>
      </c>
      <c r="B35" s="50" t="s">
        <v>140</v>
      </c>
      <c r="C35" s="117">
        <v>50000</v>
      </c>
      <c r="D35" s="117"/>
      <c r="E35" s="117"/>
      <c r="F35" s="117"/>
      <c r="G35" s="117"/>
      <c r="H35" s="117">
        <f>-7800</f>
        <v>-7800</v>
      </c>
      <c r="I35" s="117">
        <f>5060</f>
        <v>5060</v>
      </c>
      <c r="J35" s="117"/>
      <c r="K35" s="117"/>
      <c r="L35" s="666">
        <f t="shared" si="21"/>
        <v>47260</v>
      </c>
      <c r="M35" s="666">
        <f t="shared" si="22"/>
        <v>35445</v>
      </c>
      <c r="N35" s="58">
        <f t="shared" si="23"/>
        <v>3938.3333333333335</v>
      </c>
      <c r="O35" s="43">
        <f t="shared" si="24"/>
        <v>39383.333333333336</v>
      </c>
      <c r="P35" s="164">
        <v>1500</v>
      </c>
      <c r="Q35" s="164">
        <v>10000</v>
      </c>
      <c r="R35" s="164">
        <v>1500</v>
      </c>
      <c r="S35" s="164"/>
      <c r="T35" s="164"/>
      <c r="U35" s="164">
        <v>1500</v>
      </c>
      <c r="V35" s="164">
        <v>1500</v>
      </c>
      <c r="W35" s="1304">
        <v>5060</v>
      </c>
      <c r="X35" s="164">
        <v>11177</v>
      </c>
      <c r="Y35" s="164">
        <v>10000</v>
      </c>
      <c r="Z35" s="164"/>
      <c r="AA35" s="164"/>
      <c r="AB35" s="164">
        <f t="shared" si="18"/>
        <v>32237</v>
      </c>
      <c r="AC35" s="673">
        <f t="shared" si="19"/>
        <v>10000</v>
      </c>
      <c r="AD35" s="718">
        <f t="shared" si="20"/>
        <v>42237</v>
      </c>
      <c r="AE35" s="718">
        <f t="shared" si="25"/>
        <v>-2853.6666666666642</v>
      </c>
      <c r="AF35" s="475">
        <f t="shared" si="26"/>
        <v>5023</v>
      </c>
    </row>
    <row r="36" spans="1:32" x14ac:dyDescent="0.25">
      <c r="A36" s="61" t="s">
        <v>50</v>
      </c>
      <c r="B36" s="50" t="s">
        <v>51</v>
      </c>
      <c r="C36" s="117">
        <f>191840-16350</f>
        <v>175490</v>
      </c>
      <c r="D36" s="117">
        <f>40200</f>
        <v>40200</v>
      </c>
      <c r="E36" s="117"/>
      <c r="F36" s="117"/>
      <c r="G36" s="117"/>
      <c r="H36" s="117"/>
      <c r="I36" s="117"/>
      <c r="J36" s="117"/>
      <c r="K36" s="117"/>
      <c r="L36" s="666">
        <f t="shared" si="21"/>
        <v>215690</v>
      </c>
      <c r="M36" s="666">
        <f t="shared" si="22"/>
        <v>161767.5</v>
      </c>
      <c r="N36" s="58">
        <f t="shared" si="23"/>
        <v>17974.166666666668</v>
      </c>
      <c r="O36" s="43">
        <f t="shared" si="24"/>
        <v>179741.66666666666</v>
      </c>
      <c r="P36" s="373"/>
      <c r="Q36" s="373">
        <v>6715.25</v>
      </c>
      <c r="R36" s="666">
        <v>37807</v>
      </c>
      <c r="S36" s="373"/>
      <c r="T36" s="373">
        <v>950</v>
      </c>
      <c r="U36" s="373">
        <v>47445</v>
      </c>
      <c r="V36" s="666">
        <v>5767.25</v>
      </c>
      <c r="W36" s="373">
        <v>6666</v>
      </c>
      <c r="X36" s="373">
        <v>22938</v>
      </c>
      <c r="Y36" s="373"/>
      <c r="Z36" s="373"/>
      <c r="AA36" s="373"/>
      <c r="AB36" s="164">
        <f t="shared" si="18"/>
        <v>128288.5</v>
      </c>
      <c r="AC36" s="673">
        <f t="shared" si="19"/>
        <v>0</v>
      </c>
      <c r="AD36" s="718">
        <f t="shared" si="20"/>
        <v>128288.5</v>
      </c>
      <c r="AE36" s="718">
        <f t="shared" si="25"/>
        <v>51453.166666666657</v>
      </c>
      <c r="AF36" s="475">
        <f t="shared" si="26"/>
        <v>87401.5</v>
      </c>
    </row>
    <row r="37" spans="1:32" x14ac:dyDescent="0.25">
      <c r="A37" s="285" t="s">
        <v>244</v>
      </c>
      <c r="B37" s="54" t="s">
        <v>245</v>
      </c>
      <c r="C37" s="117">
        <f>364000-14000</f>
        <v>350000</v>
      </c>
      <c r="D37" s="117">
        <f>-40950</f>
        <v>-40950</v>
      </c>
      <c r="E37" s="117"/>
      <c r="F37" s="117"/>
      <c r="G37" s="117"/>
      <c r="H37" s="117"/>
      <c r="I37" s="117"/>
      <c r="J37" s="117"/>
      <c r="K37" s="117">
        <v>200000</v>
      </c>
      <c r="L37" s="666">
        <f t="shared" si="21"/>
        <v>509050</v>
      </c>
      <c r="M37" s="666">
        <f t="shared" si="22"/>
        <v>381787.5</v>
      </c>
      <c r="N37" s="58">
        <f t="shared" si="23"/>
        <v>42420.833333333336</v>
      </c>
      <c r="O37" s="43">
        <f t="shared" si="24"/>
        <v>424208.33333333331</v>
      </c>
      <c r="P37" s="164">
        <v>87175</v>
      </c>
      <c r="Q37" s="164"/>
      <c r="R37" s="164">
        <v>76650</v>
      </c>
      <c r="S37" s="164">
        <v>76257.5</v>
      </c>
      <c r="T37" s="164">
        <v>15950</v>
      </c>
      <c r="U37" s="164">
        <v>58000</v>
      </c>
      <c r="V37" s="164">
        <v>60017.5</v>
      </c>
      <c r="W37" s="164"/>
      <c r="X37" s="164">
        <v>88000</v>
      </c>
      <c r="Y37" s="164"/>
      <c r="Z37" s="164"/>
      <c r="AA37" s="164"/>
      <c r="AB37" s="164">
        <f t="shared" si="18"/>
        <v>462050</v>
      </c>
      <c r="AC37" s="673">
        <f t="shared" si="19"/>
        <v>0</v>
      </c>
      <c r="AD37" s="718">
        <f t="shared" si="20"/>
        <v>462050</v>
      </c>
      <c r="AE37" s="718">
        <f t="shared" si="25"/>
        <v>-37841.666666666686</v>
      </c>
      <c r="AF37" s="475">
        <f t="shared" si="26"/>
        <v>47000</v>
      </c>
    </row>
    <row r="38" spans="1:32" x14ac:dyDescent="0.25">
      <c r="A38" s="285" t="s">
        <v>377</v>
      </c>
      <c r="B38" s="54" t="s">
        <v>150</v>
      </c>
      <c r="C38" s="117">
        <v>10000</v>
      </c>
      <c r="D38" s="117">
        <f>32000</f>
        <v>32000</v>
      </c>
      <c r="E38" s="117"/>
      <c r="F38" s="117"/>
      <c r="G38" s="117"/>
      <c r="H38" s="117">
        <f>25000</f>
        <v>25000</v>
      </c>
      <c r="I38" s="117"/>
      <c r="J38" s="117"/>
      <c r="K38" s="117"/>
      <c r="L38" s="666">
        <f t="shared" si="21"/>
        <v>67000</v>
      </c>
      <c r="M38" s="666">
        <f t="shared" si="22"/>
        <v>50250</v>
      </c>
      <c r="N38" s="58">
        <f t="shared" si="23"/>
        <v>5583.333333333333</v>
      </c>
      <c r="O38" s="43">
        <f t="shared" si="24"/>
        <v>55833.333333333336</v>
      </c>
      <c r="P38" s="164"/>
      <c r="Q38" s="164"/>
      <c r="R38" s="164"/>
      <c r="S38" s="164"/>
      <c r="T38" s="164"/>
      <c r="U38" s="164"/>
      <c r="V38" s="164"/>
      <c r="W38" s="164">
        <v>18995</v>
      </c>
      <c r="X38" s="164"/>
      <c r="Y38" s="164"/>
      <c r="Z38" s="164"/>
      <c r="AA38" s="164"/>
      <c r="AB38" s="164">
        <f>P38+Q38+R38+S38+T38+U38+V38+W38+X38</f>
        <v>18995</v>
      </c>
      <c r="AC38" s="673">
        <f t="shared" si="19"/>
        <v>0</v>
      </c>
      <c r="AD38" s="718">
        <f t="shared" si="20"/>
        <v>18995</v>
      </c>
      <c r="AE38" s="718">
        <f t="shared" si="25"/>
        <v>36838.333333333336</v>
      </c>
      <c r="AF38" s="475">
        <f t="shared" si="26"/>
        <v>48005</v>
      </c>
    </row>
    <row r="39" spans="1:32" x14ac:dyDescent="0.25">
      <c r="A39" s="285" t="s">
        <v>683</v>
      </c>
      <c r="B39" s="54" t="s">
        <v>56</v>
      </c>
      <c r="C39" s="117"/>
      <c r="D39" s="117"/>
      <c r="E39" s="117"/>
      <c r="F39" s="117"/>
      <c r="G39" s="117"/>
      <c r="H39" s="117"/>
      <c r="I39" s="117"/>
      <c r="J39" s="117"/>
      <c r="K39" s="117"/>
      <c r="L39" s="666">
        <f t="shared" si="21"/>
        <v>0</v>
      </c>
      <c r="M39" s="666">
        <f t="shared" si="22"/>
        <v>0</v>
      </c>
      <c r="N39" s="58">
        <f t="shared" si="23"/>
        <v>0</v>
      </c>
      <c r="O39" s="43">
        <f t="shared" si="24"/>
        <v>0</v>
      </c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>
        <f t="shared" si="18"/>
        <v>0</v>
      </c>
      <c r="AC39" s="673">
        <f t="shared" si="19"/>
        <v>0</v>
      </c>
      <c r="AD39" s="718">
        <f t="shared" si="20"/>
        <v>0</v>
      </c>
      <c r="AE39" s="718">
        <f t="shared" si="25"/>
        <v>0</v>
      </c>
      <c r="AF39" s="475">
        <f t="shared" si="26"/>
        <v>0</v>
      </c>
    </row>
    <row r="40" spans="1:32" x14ac:dyDescent="0.25">
      <c r="A40" s="179" t="s">
        <v>371</v>
      </c>
      <c r="B40" s="54"/>
      <c r="C40" s="117">
        <v>10000</v>
      </c>
      <c r="D40" s="117"/>
      <c r="E40" s="117"/>
      <c r="F40" s="117"/>
      <c r="G40" s="117"/>
      <c r="H40" s="117"/>
      <c r="I40" s="117"/>
      <c r="J40" s="117"/>
      <c r="K40" s="117"/>
      <c r="L40" s="666">
        <f t="shared" si="21"/>
        <v>10000</v>
      </c>
      <c r="M40" s="666">
        <f t="shared" si="22"/>
        <v>7500</v>
      </c>
      <c r="N40" s="58">
        <f t="shared" si="23"/>
        <v>833.33333333333337</v>
      </c>
      <c r="O40" s="43">
        <f t="shared" si="24"/>
        <v>8333.3333333333339</v>
      </c>
      <c r="P40" s="164"/>
      <c r="Q40" s="164"/>
      <c r="R40" s="164">
        <v>2139.1999999999998</v>
      </c>
      <c r="S40" s="164"/>
      <c r="T40" s="164"/>
      <c r="U40" s="164">
        <v>4883</v>
      </c>
      <c r="V40" s="164"/>
      <c r="W40" s="164">
        <v>2977.8</v>
      </c>
      <c r="X40" s="164"/>
      <c r="Y40" s="164"/>
      <c r="Z40" s="164"/>
      <c r="AA40" s="164"/>
      <c r="AB40" s="164">
        <f t="shared" si="18"/>
        <v>10000</v>
      </c>
      <c r="AC40" s="673">
        <f t="shared" si="19"/>
        <v>0</v>
      </c>
      <c r="AD40" s="718">
        <f t="shared" si="20"/>
        <v>10000</v>
      </c>
      <c r="AE40" s="718">
        <f t="shared" si="25"/>
        <v>-1666.6666666666661</v>
      </c>
      <c r="AF40" s="475">
        <f t="shared" si="26"/>
        <v>0</v>
      </c>
    </row>
    <row r="41" spans="1:32" x14ac:dyDescent="0.25">
      <c r="A41" s="179" t="s">
        <v>736</v>
      </c>
      <c r="B41" s="54"/>
      <c r="C41" s="117">
        <v>30000</v>
      </c>
      <c r="D41" s="117"/>
      <c r="E41" s="117"/>
      <c r="F41" s="117"/>
      <c r="G41" s="117"/>
      <c r="H41" s="117"/>
      <c r="I41" s="117"/>
      <c r="J41" s="117"/>
      <c r="K41" s="117"/>
      <c r="L41" s="666">
        <f t="shared" si="21"/>
        <v>30000</v>
      </c>
      <c r="M41" s="666">
        <f t="shared" si="22"/>
        <v>22500</v>
      </c>
      <c r="N41" s="58">
        <f t="shared" si="23"/>
        <v>2500</v>
      </c>
      <c r="O41" s="43">
        <f t="shared" si="24"/>
        <v>25000</v>
      </c>
      <c r="P41" s="164"/>
      <c r="Q41" s="164"/>
      <c r="R41" s="164"/>
      <c r="S41" s="164"/>
      <c r="T41" s="164"/>
      <c r="U41" s="164"/>
      <c r="V41" s="164"/>
      <c r="W41" s="164">
        <v>3193.6</v>
      </c>
      <c r="X41" s="164">
        <v>2632</v>
      </c>
      <c r="Y41" s="164"/>
      <c r="Z41" s="164"/>
      <c r="AA41" s="164"/>
      <c r="AB41" s="164">
        <f t="shared" si="18"/>
        <v>5825.6</v>
      </c>
      <c r="AC41" s="673">
        <f t="shared" si="19"/>
        <v>0</v>
      </c>
      <c r="AD41" s="718">
        <f t="shared" si="20"/>
        <v>5825.6</v>
      </c>
      <c r="AE41" s="718">
        <f t="shared" si="25"/>
        <v>19174.400000000001</v>
      </c>
      <c r="AF41" s="475">
        <f t="shared" si="26"/>
        <v>24174.400000000001</v>
      </c>
    </row>
    <row r="42" spans="1:32" x14ac:dyDescent="0.25">
      <c r="A42" s="285" t="s">
        <v>57</v>
      </c>
      <c r="B42" s="54" t="s">
        <v>58</v>
      </c>
      <c r="C42" s="117">
        <v>1500</v>
      </c>
      <c r="D42" s="117"/>
      <c r="E42" s="117"/>
      <c r="F42" s="117"/>
      <c r="G42" s="117"/>
      <c r="H42" s="117"/>
      <c r="I42" s="117"/>
      <c r="J42" s="117"/>
      <c r="K42" s="117"/>
      <c r="L42" s="666">
        <f t="shared" si="21"/>
        <v>1500</v>
      </c>
      <c r="M42" s="666">
        <f t="shared" si="22"/>
        <v>1125</v>
      </c>
      <c r="N42" s="58">
        <f t="shared" si="23"/>
        <v>125</v>
      </c>
      <c r="O42" s="43">
        <f t="shared" si="24"/>
        <v>1250</v>
      </c>
      <c r="P42" s="164"/>
      <c r="Q42" s="164"/>
      <c r="R42" s="164">
        <v>135</v>
      </c>
      <c r="S42" s="164"/>
      <c r="T42" s="164">
        <v>620</v>
      </c>
      <c r="U42" s="164"/>
      <c r="V42" s="164"/>
      <c r="W42" s="164"/>
      <c r="X42" s="164"/>
      <c r="Y42" s="164"/>
      <c r="Z42" s="164"/>
      <c r="AA42" s="164"/>
      <c r="AB42" s="164">
        <f t="shared" si="18"/>
        <v>755</v>
      </c>
      <c r="AC42" s="673">
        <f t="shared" si="19"/>
        <v>0</v>
      </c>
      <c r="AD42" s="718">
        <f t="shared" si="20"/>
        <v>755</v>
      </c>
      <c r="AE42" s="718">
        <f t="shared" si="25"/>
        <v>495</v>
      </c>
      <c r="AF42" s="475">
        <f t="shared" si="26"/>
        <v>745</v>
      </c>
    </row>
    <row r="43" spans="1:32" x14ac:dyDescent="0.25">
      <c r="A43" s="61" t="s">
        <v>481</v>
      </c>
      <c r="B43" s="50" t="s">
        <v>60</v>
      </c>
      <c r="C43" s="117">
        <v>72000</v>
      </c>
      <c r="D43" s="117">
        <f>-3000</f>
        <v>-3000</v>
      </c>
      <c r="E43" s="117"/>
      <c r="F43" s="117"/>
      <c r="G43" s="117"/>
      <c r="H43" s="117"/>
      <c r="I43" s="117"/>
      <c r="J43" s="117"/>
      <c r="K43" s="117"/>
      <c r="L43" s="666">
        <f t="shared" si="21"/>
        <v>69000</v>
      </c>
      <c r="M43" s="666">
        <f t="shared" si="22"/>
        <v>51750</v>
      </c>
      <c r="N43" s="58">
        <f t="shared" si="23"/>
        <v>5750</v>
      </c>
      <c r="O43" s="43">
        <f t="shared" si="24"/>
        <v>57500</v>
      </c>
      <c r="P43" s="666">
        <v>4709.99</v>
      </c>
      <c r="Q43" s="666">
        <v>5093.8599999999997</v>
      </c>
      <c r="R43" s="666">
        <v>4780.88</v>
      </c>
      <c r="S43" s="373">
        <v>4639.99</v>
      </c>
      <c r="T43" s="373">
        <v>4628.84</v>
      </c>
      <c r="U43" s="373">
        <v>1610</v>
      </c>
      <c r="V43" s="666">
        <v>8593.84</v>
      </c>
      <c r="W43" s="373">
        <v>5408.23</v>
      </c>
      <c r="X43" s="373">
        <v>5499</v>
      </c>
      <c r="Y43" s="373">
        <v>5497</v>
      </c>
      <c r="Z43" s="373"/>
      <c r="AA43" s="373"/>
      <c r="AB43" s="164">
        <f t="shared" si="18"/>
        <v>44964.630000000005</v>
      </c>
      <c r="AC43" s="673">
        <f t="shared" si="19"/>
        <v>5497</v>
      </c>
      <c r="AD43" s="718">
        <f t="shared" si="20"/>
        <v>50461.630000000005</v>
      </c>
      <c r="AE43" s="718">
        <f t="shared" si="25"/>
        <v>7038.3699999999953</v>
      </c>
      <c r="AF43" s="475">
        <f t="shared" si="26"/>
        <v>18538.369999999995</v>
      </c>
    </row>
    <row r="44" spans="1:32" x14ac:dyDescent="0.25">
      <c r="A44" s="61" t="s">
        <v>61</v>
      </c>
      <c r="B44" s="50" t="s">
        <v>62</v>
      </c>
      <c r="C44" s="117">
        <v>22750</v>
      </c>
      <c r="D44" s="117"/>
      <c r="E44" s="117"/>
      <c r="F44" s="117"/>
      <c r="G44" s="117"/>
      <c r="H44" s="117"/>
      <c r="I44" s="117"/>
      <c r="J44" s="117"/>
      <c r="K44" s="117"/>
      <c r="L44" s="666">
        <f t="shared" si="21"/>
        <v>22750</v>
      </c>
      <c r="M44" s="666">
        <f t="shared" si="22"/>
        <v>17062.5</v>
      </c>
      <c r="N44" s="58">
        <f t="shared" si="23"/>
        <v>1895.8333333333333</v>
      </c>
      <c r="O44" s="43">
        <f t="shared" si="24"/>
        <v>18958.333333333332</v>
      </c>
      <c r="P44" s="666">
        <v>1898</v>
      </c>
      <c r="Q44" s="666">
        <v>1898</v>
      </c>
      <c r="R44" s="666">
        <v>1898</v>
      </c>
      <c r="S44" s="373">
        <v>1898</v>
      </c>
      <c r="T44" s="373">
        <v>1898</v>
      </c>
      <c r="U44" s="373"/>
      <c r="V44" s="666">
        <v>1898</v>
      </c>
      <c r="W44" s="373">
        <v>3796</v>
      </c>
      <c r="X44" s="373">
        <v>1699</v>
      </c>
      <c r="Y44" s="373">
        <v>1699</v>
      </c>
      <c r="Z44" s="373"/>
      <c r="AA44" s="373"/>
      <c r="AB44" s="164">
        <f t="shared" si="18"/>
        <v>16883</v>
      </c>
      <c r="AC44" s="673">
        <f t="shared" si="19"/>
        <v>1699</v>
      </c>
      <c r="AD44" s="718">
        <f t="shared" si="20"/>
        <v>18582</v>
      </c>
      <c r="AE44" s="718">
        <f t="shared" si="25"/>
        <v>376.33333333333212</v>
      </c>
      <c r="AF44" s="475">
        <f t="shared" si="26"/>
        <v>4168</v>
      </c>
    </row>
    <row r="45" spans="1:32" x14ac:dyDescent="0.25">
      <c r="A45" s="285" t="s">
        <v>69</v>
      </c>
      <c r="B45" s="50" t="s">
        <v>70</v>
      </c>
      <c r="C45" s="117">
        <f>387600+105600</f>
        <v>493200</v>
      </c>
      <c r="D45" s="117"/>
      <c r="E45" s="117">
        <v>40000</v>
      </c>
      <c r="F45" s="117"/>
      <c r="G45" s="117"/>
      <c r="H45" s="117">
        <f>7800</f>
        <v>7800</v>
      </c>
      <c r="I45" s="117"/>
      <c r="J45" s="117"/>
      <c r="K45" s="117"/>
      <c r="L45" s="666">
        <f t="shared" si="21"/>
        <v>541000</v>
      </c>
      <c r="M45" s="666">
        <f t="shared" si="22"/>
        <v>405750</v>
      </c>
      <c r="N45" s="58">
        <f t="shared" si="23"/>
        <v>45083.333333333336</v>
      </c>
      <c r="O45" s="43">
        <f t="shared" si="24"/>
        <v>450833.33333333331</v>
      </c>
      <c r="P45" s="718">
        <v>24815.4</v>
      </c>
      <c r="Q45" s="718">
        <v>39857.910000000003</v>
      </c>
      <c r="R45" s="718">
        <v>39580.639999999999</v>
      </c>
      <c r="S45" s="77">
        <v>39251.660000000003</v>
      </c>
      <c r="T45" s="77">
        <v>39897.5</v>
      </c>
      <c r="U45" s="77">
        <v>44811.67</v>
      </c>
      <c r="V45" s="718">
        <v>29425.83</v>
      </c>
      <c r="W45" s="77">
        <v>40490.67</v>
      </c>
      <c r="X45" s="77">
        <v>40483.15</v>
      </c>
      <c r="Y45" s="77">
        <v>40493.33</v>
      </c>
      <c r="Z45" s="77"/>
      <c r="AA45" s="77"/>
      <c r="AB45" s="164">
        <f t="shared" si="18"/>
        <v>338614.43000000005</v>
      </c>
      <c r="AC45" s="673">
        <f t="shared" si="19"/>
        <v>40493.33</v>
      </c>
      <c r="AD45" s="718">
        <f t="shared" si="20"/>
        <v>379107.76000000007</v>
      </c>
      <c r="AE45" s="718">
        <f t="shared" si="25"/>
        <v>71725.573333333246</v>
      </c>
      <c r="AF45" s="475">
        <f t="shared" si="26"/>
        <v>161892.23999999993</v>
      </c>
    </row>
    <row r="46" spans="1:32" x14ac:dyDescent="0.25">
      <c r="A46" s="273" t="s">
        <v>606</v>
      </c>
      <c r="B46" s="50" t="s">
        <v>76</v>
      </c>
      <c r="C46" s="117"/>
      <c r="D46" s="117"/>
      <c r="E46" s="117"/>
      <c r="F46" s="117"/>
      <c r="G46" s="117"/>
      <c r="H46" s="117"/>
      <c r="I46" s="117"/>
      <c r="J46" s="117"/>
      <c r="K46" s="117"/>
      <c r="L46" s="666">
        <f t="shared" si="21"/>
        <v>0</v>
      </c>
      <c r="M46" s="666">
        <f t="shared" si="22"/>
        <v>0</v>
      </c>
      <c r="N46" s="58">
        <f t="shared" ref="N46:N57" si="27">L46/12</f>
        <v>0</v>
      </c>
      <c r="O46" s="43">
        <f t="shared" si="24"/>
        <v>0</v>
      </c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>
        <f t="shared" si="18"/>
        <v>0</v>
      </c>
      <c r="AC46" s="673">
        <f t="shared" si="19"/>
        <v>0</v>
      </c>
      <c r="AD46" s="718">
        <f t="shared" si="20"/>
        <v>0</v>
      </c>
      <c r="AE46" s="718">
        <f t="shared" si="25"/>
        <v>0</v>
      </c>
      <c r="AF46" s="475">
        <f t="shared" si="26"/>
        <v>0</v>
      </c>
    </row>
    <row r="47" spans="1:32" x14ac:dyDescent="0.25">
      <c r="A47" s="383" t="s">
        <v>110</v>
      </c>
      <c r="B47" s="50"/>
      <c r="C47" s="117">
        <f>50000-5000</f>
        <v>45000</v>
      </c>
      <c r="D47" s="117">
        <f>-4750</f>
        <v>-4750</v>
      </c>
      <c r="E47" s="117"/>
      <c r="F47" s="117"/>
      <c r="G47" s="117"/>
      <c r="H47" s="117">
        <f>-15000</f>
        <v>-15000</v>
      </c>
      <c r="I47" s="117"/>
      <c r="J47" s="117"/>
      <c r="K47" s="117"/>
      <c r="L47" s="666">
        <f t="shared" si="21"/>
        <v>25250</v>
      </c>
      <c r="M47" s="666">
        <f t="shared" si="22"/>
        <v>18937.5</v>
      </c>
      <c r="N47" s="58">
        <f t="shared" si="27"/>
        <v>2104.1666666666665</v>
      </c>
      <c r="O47" s="43">
        <f t="shared" si="24"/>
        <v>21041.666666666668</v>
      </c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>
        <f t="shared" si="18"/>
        <v>0</v>
      </c>
      <c r="AC47" s="673">
        <f t="shared" si="19"/>
        <v>0</v>
      </c>
      <c r="AD47" s="718">
        <f t="shared" si="20"/>
        <v>0</v>
      </c>
      <c r="AE47" s="718">
        <f t="shared" si="25"/>
        <v>21041.666666666668</v>
      </c>
      <c r="AF47" s="475">
        <f t="shared" si="26"/>
        <v>25250</v>
      </c>
    </row>
    <row r="48" spans="1:32" x14ac:dyDescent="0.25">
      <c r="A48" s="383" t="s">
        <v>390</v>
      </c>
      <c r="B48" s="50"/>
      <c r="C48" s="117">
        <f>50000-5000</f>
        <v>45000</v>
      </c>
      <c r="D48" s="117">
        <f>-8500</f>
        <v>-8500</v>
      </c>
      <c r="E48" s="117"/>
      <c r="F48" s="117"/>
      <c r="G48" s="117"/>
      <c r="H48" s="117"/>
      <c r="I48" s="117"/>
      <c r="J48" s="117"/>
      <c r="K48" s="117"/>
      <c r="L48" s="666">
        <f t="shared" si="21"/>
        <v>36500</v>
      </c>
      <c r="M48" s="666">
        <f t="shared" si="22"/>
        <v>27375</v>
      </c>
      <c r="N48" s="58">
        <f t="shared" si="27"/>
        <v>3041.6666666666665</v>
      </c>
      <c r="O48" s="43">
        <f t="shared" si="24"/>
        <v>30416.666666666668</v>
      </c>
      <c r="P48" s="164"/>
      <c r="Q48" s="164"/>
      <c r="R48" s="164">
        <v>4200</v>
      </c>
      <c r="S48" s="164"/>
      <c r="T48" s="164">
        <v>5200</v>
      </c>
      <c r="U48" s="164">
        <v>500</v>
      </c>
      <c r="V48" s="164">
        <v>8195</v>
      </c>
      <c r="W48" s="164">
        <v>400</v>
      </c>
      <c r="X48" s="164"/>
      <c r="Y48" s="164"/>
      <c r="Z48" s="164"/>
      <c r="AA48" s="164"/>
      <c r="AB48" s="164">
        <f t="shared" si="18"/>
        <v>18495</v>
      </c>
      <c r="AC48" s="673">
        <f t="shared" si="19"/>
        <v>0</v>
      </c>
      <c r="AD48" s="718">
        <f t="shared" si="20"/>
        <v>18495</v>
      </c>
      <c r="AE48" s="718">
        <f t="shared" si="25"/>
        <v>11921.666666666668</v>
      </c>
      <c r="AF48" s="475">
        <f t="shared" si="26"/>
        <v>18005</v>
      </c>
    </row>
    <row r="49" spans="1:32" x14ac:dyDescent="0.25">
      <c r="A49" s="273" t="s">
        <v>610</v>
      </c>
      <c r="B49" s="50" t="s">
        <v>79</v>
      </c>
      <c r="C49" s="117"/>
      <c r="D49" s="117"/>
      <c r="E49" s="117"/>
      <c r="F49" s="117"/>
      <c r="G49" s="117"/>
      <c r="H49" s="117"/>
      <c r="I49" s="117"/>
      <c r="J49" s="117"/>
      <c r="K49" s="117"/>
      <c r="L49" s="666">
        <f t="shared" si="21"/>
        <v>0</v>
      </c>
      <c r="M49" s="666">
        <f t="shared" si="22"/>
        <v>0</v>
      </c>
      <c r="N49" s="58">
        <f t="shared" si="27"/>
        <v>0</v>
      </c>
      <c r="O49" s="43">
        <f t="shared" si="24"/>
        <v>0</v>
      </c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>
        <f t="shared" si="18"/>
        <v>0</v>
      </c>
      <c r="AC49" s="673">
        <f t="shared" si="19"/>
        <v>0</v>
      </c>
      <c r="AD49" s="718">
        <f t="shared" si="20"/>
        <v>0</v>
      </c>
      <c r="AE49" s="718">
        <f t="shared" si="25"/>
        <v>0</v>
      </c>
      <c r="AF49" s="475">
        <f t="shared" si="26"/>
        <v>0</v>
      </c>
    </row>
    <row r="50" spans="1:32" x14ac:dyDescent="0.25">
      <c r="A50" s="383" t="s">
        <v>737</v>
      </c>
      <c r="B50" s="50"/>
      <c r="C50" s="117">
        <v>5000</v>
      </c>
      <c r="D50" s="117"/>
      <c r="E50" s="117"/>
      <c r="F50" s="117"/>
      <c r="G50" s="117"/>
      <c r="H50" s="117"/>
      <c r="I50" s="117"/>
      <c r="J50" s="117"/>
      <c r="K50" s="117"/>
      <c r="L50" s="666">
        <f t="shared" si="21"/>
        <v>5000</v>
      </c>
      <c r="M50" s="666">
        <f t="shared" si="22"/>
        <v>3750</v>
      </c>
      <c r="N50" s="58">
        <f t="shared" si="27"/>
        <v>416.66666666666669</v>
      </c>
      <c r="O50" s="43">
        <f t="shared" si="24"/>
        <v>4166.666666666667</v>
      </c>
      <c r="P50" s="164"/>
      <c r="Q50" s="164"/>
      <c r="R50" s="164">
        <v>675</v>
      </c>
      <c r="S50" s="164"/>
      <c r="T50" s="164"/>
      <c r="U50" s="164">
        <v>370</v>
      </c>
      <c r="V50" s="164"/>
      <c r="W50" s="164"/>
      <c r="X50" s="164"/>
      <c r="Y50" s="164"/>
      <c r="Z50" s="164"/>
      <c r="AA50" s="164"/>
      <c r="AB50" s="164">
        <f t="shared" si="18"/>
        <v>1045</v>
      </c>
      <c r="AC50" s="673">
        <f t="shared" si="19"/>
        <v>0</v>
      </c>
      <c r="AD50" s="718">
        <f t="shared" si="20"/>
        <v>1045</v>
      </c>
      <c r="AE50" s="718">
        <f t="shared" si="25"/>
        <v>3121.666666666667</v>
      </c>
      <c r="AF50" s="475">
        <f t="shared" si="26"/>
        <v>3955</v>
      </c>
    </row>
    <row r="51" spans="1:32" x14ac:dyDescent="0.25">
      <c r="A51" s="285" t="s">
        <v>738</v>
      </c>
      <c r="B51" s="54" t="s">
        <v>197</v>
      </c>
      <c r="C51" s="117"/>
      <c r="D51" s="117"/>
      <c r="E51" s="117"/>
      <c r="F51" s="117"/>
      <c r="G51" s="117"/>
      <c r="H51" s="117"/>
      <c r="I51" s="117"/>
      <c r="J51" s="117"/>
      <c r="K51" s="117"/>
      <c r="L51" s="666">
        <f t="shared" si="21"/>
        <v>0</v>
      </c>
      <c r="M51" s="666">
        <f t="shared" si="22"/>
        <v>0</v>
      </c>
      <c r="N51" s="58">
        <f t="shared" si="27"/>
        <v>0</v>
      </c>
      <c r="O51" s="43">
        <f t="shared" si="24"/>
        <v>0</v>
      </c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>
        <f t="shared" si="18"/>
        <v>0</v>
      </c>
      <c r="AC51" s="673">
        <f t="shared" si="19"/>
        <v>0</v>
      </c>
      <c r="AD51" s="718">
        <f t="shared" si="20"/>
        <v>0</v>
      </c>
      <c r="AE51" s="718">
        <f t="shared" si="25"/>
        <v>0</v>
      </c>
      <c r="AF51" s="475">
        <f t="shared" si="26"/>
        <v>0</v>
      </c>
    </row>
    <row r="52" spans="1:32" x14ac:dyDescent="0.25">
      <c r="A52" s="179" t="s">
        <v>739</v>
      </c>
      <c r="B52" s="54"/>
      <c r="C52" s="117">
        <v>25000</v>
      </c>
      <c r="D52" s="117"/>
      <c r="E52" s="117"/>
      <c r="F52" s="117"/>
      <c r="G52" s="117"/>
      <c r="H52" s="117"/>
      <c r="I52" s="117"/>
      <c r="J52" s="117"/>
      <c r="K52" s="117"/>
      <c r="L52" s="666">
        <f t="shared" si="21"/>
        <v>25000</v>
      </c>
      <c r="M52" s="666">
        <f t="shared" si="22"/>
        <v>18750</v>
      </c>
      <c r="N52" s="58">
        <f t="shared" si="27"/>
        <v>2083.3333333333335</v>
      </c>
      <c r="O52" s="43">
        <f t="shared" si="24"/>
        <v>20833.333333333332</v>
      </c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>
        <f t="shared" si="18"/>
        <v>0</v>
      </c>
      <c r="AC52" s="673">
        <f t="shared" si="19"/>
        <v>0</v>
      </c>
      <c r="AD52" s="718">
        <f t="shared" si="20"/>
        <v>0</v>
      </c>
      <c r="AE52" s="718">
        <f t="shared" si="25"/>
        <v>20833.333333333332</v>
      </c>
      <c r="AF52" s="475">
        <f t="shared" si="26"/>
        <v>25000</v>
      </c>
    </row>
    <row r="53" spans="1:32" x14ac:dyDescent="0.25">
      <c r="A53" s="285" t="s">
        <v>740</v>
      </c>
      <c r="B53" s="54" t="s">
        <v>81</v>
      </c>
      <c r="C53" s="117">
        <v>1500</v>
      </c>
      <c r="D53" s="117"/>
      <c r="E53" s="117"/>
      <c r="F53" s="117"/>
      <c r="G53" s="117"/>
      <c r="H53" s="117"/>
      <c r="I53" s="117"/>
      <c r="J53" s="117"/>
      <c r="K53" s="117"/>
      <c r="L53" s="666">
        <f t="shared" si="21"/>
        <v>1500</v>
      </c>
      <c r="M53" s="666">
        <f t="shared" si="22"/>
        <v>1125</v>
      </c>
      <c r="N53" s="58">
        <f t="shared" si="27"/>
        <v>125</v>
      </c>
      <c r="O53" s="43">
        <f t="shared" si="24"/>
        <v>1250</v>
      </c>
      <c r="P53" s="164"/>
      <c r="Q53" s="164">
        <v>224.8</v>
      </c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>
        <f t="shared" si="18"/>
        <v>224.8</v>
      </c>
      <c r="AC53" s="673">
        <f t="shared" si="19"/>
        <v>0</v>
      </c>
      <c r="AD53" s="718">
        <f t="shared" si="20"/>
        <v>224.8</v>
      </c>
      <c r="AE53" s="718">
        <f t="shared" si="25"/>
        <v>1025.2</v>
      </c>
      <c r="AF53" s="475">
        <f t="shared" si="26"/>
        <v>1275.2</v>
      </c>
    </row>
    <row r="54" spans="1:32" x14ac:dyDescent="0.25">
      <c r="A54" s="285" t="s">
        <v>257</v>
      </c>
      <c r="B54" s="54" t="s">
        <v>83</v>
      </c>
      <c r="C54" s="117">
        <v>1500</v>
      </c>
      <c r="D54" s="117"/>
      <c r="E54" s="117"/>
      <c r="F54" s="117"/>
      <c r="G54" s="117"/>
      <c r="H54" s="117"/>
      <c r="I54" s="117"/>
      <c r="J54" s="117"/>
      <c r="K54" s="117"/>
      <c r="L54" s="666">
        <f t="shared" si="21"/>
        <v>1500</v>
      </c>
      <c r="M54" s="666">
        <f t="shared" si="22"/>
        <v>1125</v>
      </c>
      <c r="N54" s="58">
        <f t="shared" si="27"/>
        <v>125</v>
      </c>
      <c r="O54" s="43">
        <f t="shared" si="24"/>
        <v>1250</v>
      </c>
      <c r="P54" s="164"/>
      <c r="Q54" s="164">
        <v>1500</v>
      </c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>
        <f t="shared" si="18"/>
        <v>1500</v>
      </c>
      <c r="AC54" s="673">
        <f t="shared" si="19"/>
        <v>0</v>
      </c>
      <c r="AD54" s="718">
        <f t="shared" si="20"/>
        <v>1500</v>
      </c>
      <c r="AE54" s="718">
        <f t="shared" si="25"/>
        <v>-250</v>
      </c>
      <c r="AF54" s="475">
        <f t="shared" si="26"/>
        <v>0</v>
      </c>
    </row>
    <row r="55" spans="1:32" x14ac:dyDescent="0.25">
      <c r="A55" s="285" t="s">
        <v>741</v>
      </c>
      <c r="B55" s="54" t="s">
        <v>246</v>
      </c>
      <c r="C55" s="117">
        <v>50000</v>
      </c>
      <c r="D55" s="117"/>
      <c r="E55" s="117"/>
      <c r="F55" s="117"/>
      <c r="G55" s="117"/>
      <c r="H55" s="117">
        <f>-10000</f>
        <v>-10000</v>
      </c>
      <c r="I55" s="117"/>
      <c r="J55" s="117"/>
      <c r="K55" s="117"/>
      <c r="L55" s="666">
        <f t="shared" si="21"/>
        <v>40000</v>
      </c>
      <c r="M55" s="666">
        <f t="shared" si="22"/>
        <v>30000</v>
      </c>
      <c r="N55" s="58">
        <f t="shared" si="27"/>
        <v>3333.3333333333335</v>
      </c>
      <c r="O55" s="43">
        <f t="shared" si="24"/>
        <v>33333.333333333336</v>
      </c>
      <c r="P55" s="164"/>
      <c r="Q55" s="164">
        <v>7200</v>
      </c>
      <c r="R55" s="164"/>
      <c r="S55" s="164"/>
      <c r="T55" s="164"/>
      <c r="U55" s="164"/>
      <c r="V55" s="164">
        <v>23775</v>
      </c>
      <c r="W55" s="164"/>
      <c r="X55" s="164"/>
      <c r="Y55" s="164">
        <v>9000</v>
      </c>
      <c r="Z55" s="164"/>
      <c r="AA55" s="164"/>
      <c r="AB55" s="164">
        <f t="shared" si="18"/>
        <v>30975</v>
      </c>
      <c r="AC55" s="673">
        <f t="shared" si="19"/>
        <v>9000</v>
      </c>
      <c r="AD55" s="718">
        <f t="shared" si="20"/>
        <v>39975</v>
      </c>
      <c r="AE55" s="718">
        <f t="shared" si="25"/>
        <v>-6641.6666666666642</v>
      </c>
      <c r="AF55" s="475">
        <f t="shared" si="26"/>
        <v>25</v>
      </c>
    </row>
    <row r="56" spans="1:32" x14ac:dyDescent="0.25">
      <c r="A56" s="285" t="s">
        <v>253</v>
      </c>
      <c r="B56" s="46" t="s">
        <v>93</v>
      </c>
      <c r="C56" s="117">
        <v>15000</v>
      </c>
      <c r="D56" s="117">
        <v>5000</v>
      </c>
      <c r="E56" s="117"/>
      <c r="F56" s="117"/>
      <c r="G56" s="117"/>
      <c r="H56" s="117"/>
      <c r="I56" s="117"/>
      <c r="J56" s="117"/>
      <c r="K56" s="117"/>
      <c r="L56" s="666">
        <f t="shared" si="21"/>
        <v>20000</v>
      </c>
      <c r="M56" s="666">
        <f t="shared" si="22"/>
        <v>15000</v>
      </c>
      <c r="N56" s="58">
        <f t="shared" si="27"/>
        <v>1666.6666666666667</v>
      </c>
      <c r="O56" s="43">
        <f t="shared" si="24"/>
        <v>16666.666666666668</v>
      </c>
      <c r="P56" s="164"/>
      <c r="Q56" s="164"/>
      <c r="R56" s="164">
        <v>2818</v>
      </c>
      <c r="S56" s="164"/>
      <c r="T56" s="164">
        <v>2555</v>
      </c>
      <c r="U56" s="164">
        <v>440</v>
      </c>
      <c r="V56" s="164">
        <v>1770</v>
      </c>
      <c r="W56" s="164"/>
      <c r="X56" s="164">
        <v>986</v>
      </c>
      <c r="Y56" s="164"/>
      <c r="Z56" s="164"/>
      <c r="AA56" s="164"/>
      <c r="AB56" s="164">
        <f t="shared" si="18"/>
        <v>8569</v>
      </c>
      <c r="AC56" s="673">
        <f t="shared" si="19"/>
        <v>0</v>
      </c>
      <c r="AD56" s="718">
        <f t="shared" si="20"/>
        <v>8569</v>
      </c>
      <c r="AE56" s="718">
        <f t="shared" si="25"/>
        <v>8097.6666666666679</v>
      </c>
      <c r="AF56" s="475">
        <f t="shared" si="26"/>
        <v>11431</v>
      </c>
    </row>
    <row r="57" spans="1:32" x14ac:dyDescent="0.25">
      <c r="A57" s="285" t="s">
        <v>249</v>
      </c>
      <c r="B57" s="50" t="s">
        <v>106</v>
      </c>
      <c r="C57" s="117">
        <v>10000</v>
      </c>
      <c r="D57" s="117"/>
      <c r="E57" s="117"/>
      <c r="F57" s="117"/>
      <c r="G57" s="117"/>
      <c r="H57" s="117"/>
      <c r="I57" s="117"/>
      <c r="J57" s="117"/>
      <c r="K57" s="117"/>
      <c r="L57" s="666">
        <f t="shared" si="21"/>
        <v>10000</v>
      </c>
      <c r="M57" s="666">
        <f t="shared" si="22"/>
        <v>7500</v>
      </c>
      <c r="N57" s="58">
        <f t="shared" si="27"/>
        <v>833.33333333333337</v>
      </c>
      <c r="O57" s="43">
        <f t="shared" si="24"/>
        <v>8333.3333333333339</v>
      </c>
      <c r="P57" s="164"/>
      <c r="Q57" s="164"/>
      <c r="R57" s="164"/>
      <c r="S57" s="164"/>
      <c r="T57" s="164"/>
      <c r="U57" s="164"/>
      <c r="V57" s="164"/>
      <c r="W57" s="164">
        <v>6500</v>
      </c>
      <c r="X57" s="164"/>
      <c r="Y57" s="164"/>
      <c r="Z57" s="164"/>
      <c r="AA57" s="164"/>
      <c r="AB57" s="164">
        <f t="shared" si="18"/>
        <v>6500</v>
      </c>
      <c r="AC57" s="673">
        <f t="shared" si="19"/>
        <v>0</v>
      </c>
      <c r="AD57" s="718">
        <f t="shared" si="20"/>
        <v>6500</v>
      </c>
      <c r="AE57" s="718">
        <f t="shared" si="25"/>
        <v>1833.3333333333339</v>
      </c>
      <c r="AF57" s="475">
        <f t="shared" si="26"/>
        <v>3500</v>
      </c>
    </row>
    <row r="58" spans="1:32" x14ac:dyDescent="0.25">
      <c r="A58" s="472" t="s">
        <v>108</v>
      </c>
      <c r="B58" s="478"/>
      <c r="C58" s="373">
        <f>SUM(C34:C57)</f>
        <v>1490440</v>
      </c>
      <c r="D58" s="373">
        <f>SUM(D34:D57)</f>
        <v>0</v>
      </c>
      <c r="E58" s="373">
        <f>SUM(E34:E57)</f>
        <v>40000</v>
      </c>
      <c r="F58" s="373">
        <f>SUM(F34:F57)</f>
        <v>0</v>
      </c>
      <c r="G58" s="373">
        <f t="shared" ref="G58:AF58" si="28">SUM(G34:G57)</f>
        <v>0</v>
      </c>
      <c r="H58" s="373">
        <f t="shared" si="28"/>
        <v>0</v>
      </c>
      <c r="I58" s="373">
        <f t="shared" si="28"/>
        <v>5060</v>
      </c>
      <c r="J58" s="373">
        <f t="shared" si="28"/>
        <v>0</v>
      </c>
      <c r="K58" s="373">
        <f t="shared" si="28"/>
        <v>200000</v>
      </c>
      <c r="L58" s="373">
        <f t="shared" si="28"/>
        <v>1735500</v>
      </c>
      <c r="M58" s="373">
        <f t="shared" si="28"/>
        <v>1301625</v>
      </c>
      <c r="N58" s="373">
        <f t="shared" si="28"/>
        <v>144624.99999999997</v>
      </c>
      <c r="O58" s="373">
        <f t="shared" si="28"/>
        <v>1446250.0000000002</v>
      </c>
      <c r="P58" s="373">
        <f t="shared" si="28"/>
        <v>121318.39000000001</v>
      </c>
      <c r="Q58" s="373">
        <f t="shared" si="28"/>
        <v>76339.820000000007</v>
      </c>
      <c r="R58" s="373">
        <f t="shared" si="28"/>
        <v>173878.72</v>
      </c>
      <c r="S58" s="373">
        <f t="shared" si="28"/>
        <v>122047.15000000001</v>
      </c>
      <c r="T58" s="373">
        <f t="shared" si="28"/>
        <v>71699.34</v>
      </c>
      <c r="U58" s="373">
        <f t="shared" si="28"/>
        <v>160779.66999999998</v>
      </c>
      <c r="V58" s="373">
        <f t="shared" si="28"/>
        <v>151742.41999999998</v>
      </c>
      <c r="W58" s="373">
        <f t="shared" si="28"/>
        <v>96335.3</v>
      </c>
      <c r="X58" s="373">
        <f>SUM(X34:X57)</f>
        <v>175698.15</v>
      </c>
      <c r="Y58" s="373">
        <f t="shared" si="28"/>
        <v>69249.33</v>
      </c>
      <c r="Z58" s="373">
        <f t="shared" si="28"/>
        <v>0</v>
      </c>
      <c r="AA58" s="373">
        <f t="shared" si="28"/>
        <v>0</v>
      </c>
      <c r="AB58" s="373">
        <f t="shared" si="28"/>
        <v>1149838.9600000002</v>
      </c>
      <c r="AC58" s="373">
        <f t="shared" si="28"/>
        <v>69249.33</v>
      </c>
      <c r="AD58" s="373">
        <f t="shared" si="28"/>
        <v>1219088.29</v>
      </c>
      <c r="AE58" s="373">
        <f t="shared" si="28"/>
        <v>227161.70999999988</v>
      </c>
      <c r="AF58" s="373">
        <f t="shared" si="28"/>
        <v>516411.70999999996</v>
      </c>
    </row>
    <row r="59" spans="1:32" x14ac:dyDescent="0.25">
      <c r="A59" s="472" t="s">
        <v>240</v>
      </c>
      <c r="B59" s="478"/>
      <c r="C59" s="43"/>
      <c r="D59" s="718"/>
      <c r="E59" s="718"/>
      <c r="F59" s="718"/>
      <c r="G59" s="718"/>
      <c r="H59" s="718"/>
      <c r="I59" s="718"/>
      <c r="J59" s="718"/>
      <c r="K59" s="718"/>
      <c r="L59" s="43"/>
      <c r="M59" s="666">
        <f t="shared" ref="M59:M68" si="29">L59/12</f>
        <v>0</v>
      </c>
      <c r="N59" s="43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</row>
    <row r="60" spans="1:32" x14ac:dyDescent="0.25">
      <c r="A60" s="472" t="s">
        <v>320</v>
      </c>
      <c r="B60" s="478"/>
      <c r="C60" s="43"/>
      <c r="D60" s="718"/>
      <c r="E60" s="718"/>
      <c r="F60" s="718"/>
      <c r="G60" s="718"/>
      <c r="H60" s="718"/>
      <c r="I60" s="718"/>
      <c r="J60" s="718"/>
      <c r="K60" s="718"/>
      <c r="L60" s="43"/>
      <c r="M60" s="666">
        <f t="shared" si="29"/>
        <v>0</v>
      </c>
      <c r="N60" s="43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</row>
    <row r="61" spans="1:32" x14ac:dyDescent="0.25">
      <c r="A61" s="483" t="s">
        <v>112</v>
      </c>
      <c r="B61" s="530" t="s">
        <v>113</v>
      </c>
      <c r="C61" s="43">
        <v>200000</v>
      </c>
      <c r="D61" s="718"/>
      <c r="E61" s="718"/>
      <c r="F61" s="718"/>
      <c r="G61" s="718"/>
      <c r="H61" s="718"/>
      <c r="I61" s="718"/>
      <c r="J61" s="718"/>
      <c r="K61" s="718"/>
      <c r="L61" s="666">
        <f t="shared" ref="L61:L68" si="30">SUM(C61:K61)</f>
        <v>200000</v>
      </c>
      <c r="M61" s="666">
        <f t="shared" si="29"/>
        <v>16666.666666666668</v>
      </c>
      <c r="N61" s="43">
        <f>L61</f>
        <v>200000</v>
      </c>
      <c r="O61" s="475">
        <f>L61</f>
        <v>200000</v>
      </c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164">
        <f t="shared" ref="AB61:AB76" si="31">P61+Q61+R61+S61+T61+U61+V61+W61+X61</f>
        <v>0</v>
      </c>
      <c r="AC61" s="673">
        <f t="shared" ref="AC61:AC76" si="32">Y61</f>
        <v>0</v>
      </c>
      <c r="AD61" s="718">
        <f t="shared" ref="AD61:AD68" si="33">AB61+AC61</f>
        <v>0</v>
      </c>
      <c r="AE61" s="718">
        <f t="shared" ref="AE61:AE68" si="34">O61-AD61</f>
        <v>200000</v>
      </c>
      <c r="AF61" s="475">
        <f t="shared" ref="AF61:AF68" si="35">L61-AD61</f>
        <v>200000</v>
      </c>
    </row>
    <row r="62" spans="1:32" x14ac:dyDescent="0.25">
      <c r="A62" s="931" t="s">
        <v>300</v>
      </c>
      <c r="B62" s="530"/>
      <c r="C62" s="718">
        <v>4000</v>
      </c>
      <c r="D62" s="718"/>
      <c r="E62" s="718"/>
      <c r="F62" s="718"/>
      <c r="G62" s="718"/>
      <c r="H62" s="718"/>
      <c r="I62" s="718"/>
      <c r="J62" s="718"/>
      <c r="K62" s="718"/>
      <c r="L62" s="666">
        <f t="shared" si="30"/>
        <v>4000</v>
      </c>
      <c r="M62" s="666">
        <f t="shared" si="29"/>
        <v>333.33333333333331</v>
      </c>
      <c r="N62" s="718">
        <f t="shared" ref="N62:N68" si="36">L62</f>
        <v>4000</v>
      </c>
      <c r="O62" s="475">
        <f t="shared" ref="O62:O68" si="37">L62</f>
        <v>4000</v>
      </c>
      <c r="P62" s="925"/>
      <c r="Q62" s="925"/>
      <c r="R62" s="925"/>
      <c r="S62" s="925"/>
      <c r="T62" s="925"/>
      <c r="U62" s="925"/>
      <c r="V62" s="925"/>
      <c r="W62" s="925"/>
      <c r="X62" s="925"/>
      <c r="Y62" s="925"/>
      <c r="Z62" s="925"/>
      <c r="AA62" s="925"/>
      <c r="AB62" s="164">
        <f t="shared" si="31"/>
        <v>0</v>
      </c>
      <c r="AC62" s="673">
        <f t="shared" si="32"/>
        <v>0</v>
      </c>
      <c r="AD62" s="718">
        <f t="shared" si="33"/>
        <v>0</v>
      </c>
      <c r="AE62" s="718">
        <f t="shared" si="34"/>
        <v>4000</v>
      </c>
      <c r="AF62" s="475">
        <f t="shared" si="35"/>
        <v>4000</v>
      </c>
    </row>
    <row r="63" spans="1:32" x14ac:dyDescent="0.25">
      <c r="A63" s="923" t="s">
        <v>115</v>
      </c>
      <c r="B63" s="924" t="s">
        <v>116</v>
      </c>
      <c r="C63" s="43">
        <v>20000</v>
      </c>
      <c r="D63" s="718"/>
      <c r="E63" s="718"/>
      <c r="F63" s="718"/>
      <c r="G63" s="718">
        <f>-20000</f>
        <v>-20000</v>
      </c>
      <c r="H63" s="718"/>
      <c r="I63" s="718"/>
      <c r="J63" s="718"/>
      <c r="K63" s="718"/>
      <c r="L63" s="666">
        <f t="shared" si="30"/>
        <v>0</v>
      </c>
      <c r="M63" s="666">
        <f t="shared" si="29"/>
        <v>0</v>
      </c>
      <c r="N63" s="718">
        <f t="shared" si="36"/>
        <v>0</v>
      </c>
      <c r="O63" s="475">
        <f t="shared" si="37"/>
        <v>0</v>
      </c>
      <c r="P63" s="90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164">
        <f t="shared" si="31"/>
        <v>0</v>
      </c>
      <c r="AC63" s="673">
        <f t="shared" si="32"/>
        <v>0</v>
      </c>
      <c r="AD63" s="718">
        <f t="shared" si="33"/>
        <v>0</v>
      </c>
      <c r="AE63" s="718">
        <f t="shared" si="34"/>
        <v>0</v>
      </c>
      <c r="AF63" s="475">
        <f t="shared" si="35"/>
        <v>0</v>
      </c>
    </row>
    <row r="64" spans="1:32" x14ac:dyDescent="0.25">
      <c r="A64" s="923" t="s">
        <v>1130</v>
      </c>
      <c r="B64" s="922"/>
      <c r="C64" s="43"/>
      <c r="D64" s="718"/>
      <c r="E64" s="718"/>
      <c r="F64" s="718"/>
      <c r="G64" s="718"/>
      <c r="H64" s="718"/>
      <c r="I64" s="718"/>
      <c r="J64" s="718"/>
      <c r="K64" s="718"/>
      <c r="L64" s="666">
        <f t="shared" si="30"/>
        <v>0</v>
      </c>
      <c r="M64" s="666">
        <f t="shared" si="29"/>
        <v>0</v>
      </c>
      <c r="N64" s="718">
        <f t="shared" si="36"/>
        <v>0</v>
      </c>
      <c r="O64" s="475">
        <f t="shared" si="37"/>
        <v>0</v>
      </c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164">
        <f t="shared" si="31"/>
        <v>0</v>
      </c>
      <c r="AC64" s="673">
        <f t="shared" si="32"/>
        <v>0</v>
      </c>
      <c r="AD64" s="718">
        <f t="shared" si="33"/>
        <v>0</v>
      </c>
      <c r="AE64" s="718">
        <f t="shared" si="34"/>
        <v>0</v>
      </c>
      <c r="AF64" s="475">
        <f t="shared" si="35"/>
        <v>0</v>
      </c>
    </row>
    <row r="65" spans="1:32" x14ac:dyDescent="0.25">
      <c r="A65" s="932" t="s">
        <v>1132</v>
      </c>
      <c r="B65" s="930"/>
      <c r="C65" s="718">
        <v>15000</v>
      </c>
      <c r="D65" s="718"/>
      <c r="E65" s="718"/>
      <c r="F65" s="718"/>
      <c r="G65" s="718">
        <f>-15000</f>
        <v>-15000</v>
      </c>
      <c r="H65" s="718"/>
      <c r="I65" s="718"/>
      <c r="J65" s="718"/>
      <c r="K65" s="718"/>
      <c r="L65" s="666">
        <f t="shared" si="30"/>
        <v>0</v>
      </c>
      <c r="M65" s="666">
        <f t="shared" si="29"/>
        <v>0</v>
      </c>
      <c r="N65" s="718">
        <f t="shared" si="36"/>
        <v>0</v>
      </c>
      <c r="O65" s="475">
        <f t="shared" si="37"/>
        <v>0</v>
      </c>
      <c r="P65" s="929"/>
      <c r="Q65" s="929"/>
      <c r="R65" s="929"/>
      <c r="S65" s="929"/>
      <c r="T65" s="929"/>
      <c r="U65" s="929"/>
      <c r="V65" s="929"/>
      <c r="W65" s="929"/>
      <c r="X65" s="929"/>
      <c r="Y65" s="929"/>
      <c r="Z65" s="929"/>
      <c r="AA65" s="929"/>
      <c r="AB65" s="164">
        <f t="shared" si="31"/>
        <v>0</v>
      </c>
      <c r="AC65" s="673">
        <f t="shared" si="32"/>
        <v>0</v>
      </c>
      <c r="AD65" s="718">
        <f t="shared" si="33"/>
        <v>0</v>
      </c>
      <c r="AE65" s="718">
        <f t="shared" si="34"/>
        <v>0</v>
      </c>
      <c r="AF65" s="475">
        <f t="shared" si="35"/>
        <v>0</v>
      </c>
    </row>
    <row r="66" spans="1:32" x14ac:dyDescent="0.25">
      <c r="A66" s="932" t="s">
        <v>1130</v>
      </c>
      <c r="B66" s="930"/>
      <c r="C66" s="718">
        <v>10000</v>
      </c>
      <c r="D66" s="718"/>
      <c r="E66" s="718"/>
      <c r="F66" s="718"/>
      <c r="G66" s="718">
        <f>-10000</f>
        <v>-10000</v>
      </c>
      <c r="H66" s="718"/>
      <c r="I66" s="718"/>
      <c r="J66" s="718"/>
      <c r="K66" s="718"/>
      <c r="L66" s="666">
        <f t="shared" si="30"/>
        <v>0</v>
      </c>
      <c r="M66" s="666">
        <f t="shared" si="29"/>
        <v>0</v>
      </c>
      <c r="N66" s="718">
        <f t="shared" si="36"/>
        <v>0</v>
      </c>
      <c r="O66" s="475">
        <f t="shared" si="37"/>
        <v>0</v>
      </c>
      <c r="P66" s="929"/>
      <c r="Q66" s="929"/>
      <c r="R66" s="929"/>
      <c r="S66" s="929"/>
      <c r="T66" s="929"/>
      <c r="U66" s="929"/>
      <c r="V66" s="929"/>
      <c r="W66" s="929"/>
      <c r="X66" s="929"/>
      <c r="Y66" s="929"/>
      <c r="Z66" s="929"/>
      <c r="AA66" s="929"/>
      <c r="AB66" s="164">
        <f t="shared" si="31"/>
        <v>0</v>
      </c>
      <c r="AC66" s="673">
        <f t="shared" si="32"/>
        <v>0</v>
      </c>
      <c r="AD66" s="718">
        <f t="shared" si="33"/>
        <v>0</v>
      </c>
      <c r="AE66" s="718">
        <f t="shared" si="34"/>
        <v>0</v>
      </c>
      <c r="AF66" s="475">
        <f t="shared" si="35"/>
        <v>0</v>
      </c>
    </row>
    <row r="67" spans="1:32" x14ac:dyDescent="0.25">
      <c r="A67" s="928" t="s">
        <v>425</v>
      </c>
      <c r="B67" s="928" t="s">
        <v>654</v>
      </c>
      <c r="C67" s="43"/>
      <c r="D67" s="718"/>
      <c r="E67" s="718"/>
      <c r="F67" s="718"/>
      <c r="G67" s="718"/>
      <c r="H67" s="718"/>
      <c r="I67" s="718"/>
      <c r="J67" s="718"/>
      <c r="K67" s="718"/>
      <c r="L67" s="666">
        <f t="shared" si="30"/>
        <v>0</v>
      </c>
      <c r="M67" s="666">
        <f t="shared" si="29"/>
        <v>0</v>
      </c>
      <c r="N67" s="718">
        <f t="shared" si="36"/>
        <v>0</v>
      </c>
      <c r="O67" s="475">
        <f t="shared" si="37"/>
        <v>0</v>
      </c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164">
        <f t="shared" si="31"/>
        <v>0</v>
      </c>
      <c r="AC67" s="673">
        <f t="shared" si="32"/>
        <v>0</v>
      </c>
      <c r="AD67" s="718">
        <f t="shared" si="33"/>
        <v>0</v>
      </c>
      <c r="AE67" s="718">
        <f t="shared" si="34"/>
        <v>0</v>
      </c>
      <c r="AF67" s="475">
        <f t="shared" si="35"/>
        <v>0</v>
      </c>
    </row>
    <row r="68" spans="1:32" x14ac:dyDescent="0.25">
      <c r="A68" s="926" t="s">
        <v>1131</v>
      </c>
      <c r="B68" s="927"/>
      <c r="C68" s="43">
        <v>156</v>
      </c>
      <c r="D68" s="718"/>
      <c r="E68" s="718"/>
      <c r="F68" s="718"/>
      <c r="G68" s="718">
        <f>-156</f>
        <v>-156</v>
      </c>
      <c r="H68" s="718"/>
      <c r="I68" s="718"/>
      <c r="J68" s="718"/>
      <c r="K68" s="718"/>
      <c r="L68" s="666">
        <f t="shared" si="30"/>
        <v>0</v>
      </c>
      <c r="M68" s="666">
        <f t="shared" si="29"/>
        <v>0</v>
      </c>
      <c r="N68" s="718">
        <f t="shared" si="36"/>
        <v>0</v>
      </c>
      <c r="O68" s="475">
        <f t="shared" si="37"/>
        <v>0</v>
      </c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164">
        <f t="shared" si="31"/>
        <v>0</v>
      </c>
      <c r="AC68" s="673">
        <f t="shared" si="32"/>
        <v>0</v>
      </c>
      <c r="AD68" s="718">
        <f t="shared" si="33"/>
        <v>0</v>
      </c>
      <c r="AE68" s="718">
        <f t="shared" si="34"/>
        <v>0</v>
      </c>
      <c r="AF68" s="475">
        <f t="shared" si="35"/>
        <v>0</v>
      </c>
    </row>
    <row r="69" spans="1:32" x14ac:dyDescent="0.25">
      <c r="A69" s="472" t="s">
        <v>333</v>
      </c>
      <c r="B69" s="478"/>
      <c r="C69" s="77">
        <f>SUM(C61:C68)</f>
        <v>249156</v>
      </c>
      <c r="D69" s="725">
        <f>SUM(D61:D68)</f>
        <v>0</v>
      </c>
      <c r="E69" s="725">
        <f>SUM(E61:E68)</f>
        <v>0</v>
      </c>
      <c r="F69" s="725">
        <f>SUM(F61:F68)</f>
        <v>0</v>
      </c>
      <c r="G69" s="725">
        <f t="shared" ref="G69:AF69" si="38">SUM(G61:G68)</f>
        <v>-45156</v>
      </c>
      <c r="H69" s="725">
        <f t="shared" si="38"/>
        <v>0</v>
      </c>
      <c r="I69" s="725">
        <f t="shared" si="38"/>
        <v>0</v>
      </c>
      <c r="J69" s="725">
        <f t="shared" si="38"/>
        <v>0</v>
      </c>
      <c r="K69" s="725">
        <f t="shared" si="38"/>
        <v>0</v>
      </c>
      <c r="L69" s="725">
        <f t="shared" si="38"/>
        <v>204000</v>
      </c>
      <c r="M69" s="725">
        <f t="shared" si="38"/>
        <v>17000</v>
      </c>
      <c r="N69" s="725">
        <f t="shared" si="38"/>
        <v>204000</v>
      </c>
      <c r="O69" s="725">
        <f t="shared" si="38"/>
        <v>204000</v>
      </c>
      <c r="P69" s="725">
        <f t="shared" si="38"/>
        <v>0</v>
      </c>
      <c r="Q69" s="725">
        <f t="shared" si="38"/>
        <v>0</v>
      </c>
      <c r="R69" s="725">
        <f t="shared" si="38"/>
        <v>0</v>
      </c>
      <c r="S69" s="725">
        <f t="shared" si="38"/>
        <v>0</v>
      </c>
      <c r="T69" s="725">
        <f t="shared" si="38"/>
        <v>0</v>
      </c>
      <c r="U69" s="725">
        <f t="shared" si="38"/>
        <v>0</v>
      </c>
      <c r="V69" s="725">
        <f t="shared" si="38"/>
        <v>0</v>
      </c>
      <c r="W69" s="725">
        <f t="shared" si="38"/>
        <v>0</v>
      </c>
      <c r="X69" s="725">
        <f t="shared" si="38"/>
        <v>0</v>
      </c>
      <c r="Y69" s="725">
        <f t="shared" si="38"/>
        <v>0</v>
      </c>
      <c r="Z69" s="725">
        <f t="shared" si="38"/>
        <v>0</v>
      </c>
      <c r="AA69" s="725">
        <f t="shared" si="38"/>
        <v>0</v>
      </c>
      <c r="AB69" s="164">
        <f t="shared" si="31"/>
        <v>0</v>
      </c>
      <c r="AC69" s="673">
        <f t="shared" si="32"/>
        <v>0</v>
      </c>
      <c r="AD69" s="725">
        <f t="shared" si="38"/>
        <v>0</v>
      </c>
      <c r="AE69" s="725">
        <f t="shared" si="38"/>
        <v>204000</v>
      </c>
      <c r="AF69" s="725">
        <f t="shared" si="38"/>
        <v>204000</v>
      </c>
    </row>
    <row r="70" spans="1:32" x14ac:dyDescent="0.25">
      <c r="A70" s="472" t="s">
        <v>329</v>
      </c>
      <c r="B70" s="478"/>
      <c r="C70" s="43"/>
      <c r="D70" s="718"/>
      <c r="E70" s="718"/>
      <c r="F70" s="718"/>
      <c r="G70" s="718"/>
      <c r="H70" s="718"/>
      <c r="I70" s="718"/>
      <c r="J70" s="718"/>
      <c r="K70" s="718"/>
      <c r="L70" s="43"/>
      <c r="M70" s="43"/>
      <c r="N70" s="43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164">
        <f t="shared" si="31"/>
        <v>0</v>
      </c>
      <c r="AC70" s="673">
        <f t="shared" si="32"/>
        <v>0</v>
      </c>
      <c r="AD70" s="99"/>
      <c r="AE70" s="99"/>
      <c r="AF70" s="99"/>
    </row>
    <row r="71" spans="1:32" x14ac:dyDescent="0.25">
      <c r="A71" s="483" t="s">
        <v>112</v>
      </c>
      <c r="B71" s="530" t="s">
        <v>113</v>
      </c>
      <c r="C71" s="43"/>
      <c r="D71" s="718"/>
      <c r="E71" s="718"/>
      <c r="F71" s="718"/>
      <c r="G71" s="718"/>
      <c r="H71" s="718"/>
      <c r="I71" s="718"/>
      <c r="J71" s="718"/>
      <c r="K71" s="718"/>
      <c r="L71" s="666">
        <f t="shared" ref="L71:L76" si="39">SUM(C71:K71)</f>
        <v>0</v>
      </c>
      <c r="M71" s="43"/>
      <c r="N71" s="43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164">
        <f t="shared" si="31"/>
        <v>0</v>
      </c>
      <c r="AC71" s="673">
        <f t="shared" si="32"/>
        <v>0</v>
      </c>
      <c r="AD71" s="929"/>
      <c r="AE71" s="99"/>
      <c r="AF71" s="99"/>
    </row>
    <row r="72" spans="1:32" x14ac:dyDescent="0.25">
      <c r="A72" s="507" t="s">
        <v>742</v>
      </c>
      <c r="B72" s="507"/>
      <c r="C72" s="550">
        <f>70000</f>
        <v>70000</v>
      </c>
      <c r="D72" s="550"/>
      <c r="E72" s="550"/>
      <c r="F72" s="550"/>
      <c r="G72" s="550"/>
      <c r="H72" s="550"/>
      <c r="I72" s="550"/>
      <c r="J72" s="550"/>
      <c r="K72" s="550"/>
      <c r="L72" s="666">
        <f t="shared" si="39"/>
        <v>70000</v>
      </c>
      <c r="M72" s="666">
        <f>L72</f>
        <v>70000</v>
      </c>
      <c r="N72" s="58">
        <f>L72</f>
        <v>70000</v>
      </c>
      <c r="O72" s="58">
        <f>L72</f>
        <v>70000</v>
      </c>
      <c r="P72" s="99"/>
      <c r="Q72" s="99"/>
      <c r="R72" s="99"/>
      <c r="S72" s="99"/>
      <c r="T72" s="99"/>
      <c r="U72" s="99"/>
      <c r="V72" s="99"/>
      <c r="W72" s="99"/>
      <c r="X72" s="673">
        <v>44584</v>
      </c>
      <c r="Y72" s="99"/>
      <c r="Z72" s="99"/>
      <c r="AA72" s="99"/>
      <c r="AB72" s="164">
        <f t="shared" si="31"/>
        <v>44584</v>
      </c>
      <c r="AC72" s="673">
        <f t="shared" si="32"/>
        <v>0</v>
      </c>
      <c r="AD72" s="718">
        <f t="shared" ref="AD72:AD76" si="40">AB72+AC72</f>
        <v>44584</v>
      </c>
      <c r="AE72" s="718">
        <f t="shared" ref="AE72:AE76" si="41">O72-AD72</f>
        <v>25416</v>
      </c>
      <c r="AF72" s="475">
        <f t="shared" ref="AF72:AF76" si="42">L72-AD72</f>
        <v>25416</v>
      </c>
    </row>
    <row r="73" spans="1:32" x14ac:dyDescent="0.25">
      <c r="A73" s="553" t="s">
        <v>743</v>
      </c>
      <c r="B73" s="551" t="s">
        <v>116</v>
      </c>
      <c r="C73" s="43"/>
      <c r="D73" s="718"/>
      <c r="E73" s="718"/>
      <c r="F73" s="718"/>
      <c r="G73" s="718"/>
      <c r="H73" s="718"/>
      <c r="I73" s="718"/>
      <c r="J73" s="718"/>
      <c r="K73" s="718"/>
      <c r="L73" s="666">
        <f t="shared" si="39"/>
        <v>0</v>
      </c>
      <c r="M73" s="666">
        <f t="shared" ref="M73:M76" si="43">L73/12</f>
        <v>0</v>
      </c>
      <c r="N73" s="58">
        <f>L73</f>
        <v>0</v>
      </c>
      <c r="O73" s="58">
        <f t="shared" ref="O73:O76" si="44">L73</f>
        <v>0</v>
      </c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164">
        <f t="shared" si="31"/>
        <v>0</v>
      </c>
      <c r="AC73" s="673">
        <f t="shared" si="32"/>
        <v>0</v>
      </c>
      <c r="AD73" s="718">
        <f t="shared" si="40"/>
        <v>0</v>
      </c>
      <c r="AE73" s="718">
        <f t="shared" si="41"/>
        <v>0</v>
      </c>
      <c r="AF73" s="475">
        <f t="shared" si="42"/>
        <v>0</v>
      </c>
    </row>
    <row r="74" spans="1:32" x14ac:dyDescent="0.25">
      <c r="A74" s="507" t="s">
        <v>744</v>
      </c>
      <c r="B74" s="476"/>
      <c r="C74" s="43">
        <v>15000</v>
      </c>
      <c r="D74" s="718"/>
      <c r="E74" s="718"/>
      <c r="F74" s="718"/>
      <c r="G74" s="718"/>
      <c r="H74" s="718"/>
      <c r="I74" s="718"/>
      <c r="J74" s="718"/>
      <c r="K74" s="718"/>
      <c r="L74" s="666">
        <f t="shared" si="39"/>
        <v>15000</v>
      </c>
      <c r="M74" s="666">
        <f>L74</f>
        <v>15000</v>
      </c>
      <c r="N74" s="58">
        <f>L74</f>
        <v>15000</v>
      </c>
      <c r="O74" s="58">
        <f t="shared" si="44"/>
        <v>15000</v>
      </c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164">
        <f t="shared" si="31"/>
        <v>0</v>
      </c>
      <c r="AC74" s="673">
        <f t="shared" si="32"/>
        <v>0</v>
      </c>
      <c r="AD74" s="718">
        <f t="shared" si="40"/>
        <v>0</v>
      </c>
      <c r="AE74" s="718">
        <f t="shared" si="41"/>
        <v>15000</v>
      </c>
      <c r="AF74" s="475">
        <f t="shared" si="42"/>
        <v>15000</v>
      </c>
    </row>
    <row r="75" spans="1:32" x14ac:dyDescent="0.25">
      <c r="A75" s="507" t="s">
        <v>745</v>
      </c>
      <c r="B75" s="478"/>
      <c r="C75" s="43">
        <v>25000</v>
      </c>
      <c r="D75" s="718"/>
      <c r="E75" s="718"/>
      <c r="F75" s="718"/>
      <c r="G75" s="718"/>
      <c r="H75" s="718"/>
      <c r="I75" s="718"/>
      <c r="J75" s="718"/>
      <c r="K75" s="718"/>
      <c r="L75" s="666">
        <f t="shared" si="39"/>
        <v>25000</v>
      </c>
      <c r="M75" s="666">
        <f>L75</f>
        <v>25000</v>
      </c>
      <c r="N75" s="58">
        <f>L75</f>
        <v>25000</v>
      </c>
      <c r="O75" s="58">
        <f t="shared" si="44"/>
        <v>25000</v>
      </c>
      <c r="P75" s="99"/>
      <c r="Q75" s="99"/>
      <c r="R75" s="99"/>
      <c r="S75" s="99"/>
      <c r="T75" s="99"/>
      <c r="U75" s="99"/>
      <c r="V75" s="673">
        <v>25000</v>
      </c>
      <c r="W75" s="99"/>
      <c r="X75" s="99"/>
      <c r="Y75" s="99"/>
      <c r="Z75" s="99"/>
      <c r="AA75" s="99"/>
      <c r="AB75" s="164">
        <f t="shared" si="31"/>
        <v>25000</v>
      </c>
      <c r="AC75" s="673">
        <f t="shared" si="32"/>
        <v>0</v>
      </c>
      <c r="AD75" s="718">
        <f t="shared" si="40"/>
        <v>25000</v>
      </c>
      <c r="AE75" s="718">
        <f t="shared" si="41"/>
        <v>0</v>
      </c>
      <c r="AF75" s="475">
        <f t="shared" si="42"/>
        <v>0</v>
      </c>
    </row>
    <row r="76" spans="1:32" x14ac:dyDescent="0.25">
      <c r="A76" s="507"/>
      <c r="B76" s="478"/>
      <c r="C76" s="43"/>
      <c r="D76" s="718"/>
      <c r="E76" s="718"/>
      <c r="F76" s="718"/>
      <c r="G76" s="718"/>
      <c r="H76" s="718"/>
      <c r="I76" s="718"/>
      <c r="J76" s="718"/>
      <c r="K76" s="718"/>
      <c r="L76" s="666">
        <f t="shared" si="39"/>
        <v>0</v>
      </c>
      <c r="M76" s="666">
        <f t="shared" si="43"/>
        <v>0</v>
      </c>
      <c r="N76" s="58"/>
      <c r="O76" s="58">
        <f t="shared" si="44"/>
        <v>0</v>
      </c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164">
        <f t="shared" si="31"/>
        <v>0</v>
      </c>
      <c r="AC76" s="673">
        <f t="shared" si="32"/>
        <v>0</v>
      </c>
      <c r="AD76" s="718">
        <f t="shared" si="40"/>
        <v>0</v>
      </c>
      <c r="AE76" s="718">
        <f t="shared" si="41"/>
        <v>0</v>
      </c>
      <c r="AF76" s="475">
        <f t="shared" si="42"/>
        <v>0</v>
      </c>
    </row>
    <row r="77" spans="1:32" x14ac:dyDescent="0.25">
      <c r="A77" s="472" t="s">
        <v>328</v>
      </c>
      <c r="B77" s="478"/>
      <c r="C77" s="373">
        <f>SUM(C72:C76)</f>
        <v>110000</v>
      </c>
      <c r="D77" s="373">
        <f>SUM(D72:D76)</f>
        <v>0</v>
      </c>
      <c r="E77" s="373">
        <f>SUM(E72:E76)</f>
        <v>0</v>
      </c>
      <c r="F77" s="373">
        <f>SUM(F72:F76)</f>
        <v>0</v>
      </c>
      <c r="G77" s="373">
        <f t="shared" ref="G77:AF77" si="45">SUM(G72:G76)</f>
        <v>0</v>
      </c>
      <c r="H77" s="373">
        <f t="shared" ref="H77:K77" si="46">SUM(H72:H76)</f>
        <v>0</v>
      </c>
      <c r="I77" s="373">
        <f t="shared" ref="I77:J77" si="47">SUM(I72:I76)</f>
        <v>0</v>
      </c>
      <c r="J77" s="373">
        <f t="shared" si="47"/>
        <v>0</v>
      </c>
      <c r="K77" s="373">
        <f t="shared" si="46"/>
        <v>0</v>
      </c>
      <c r="L77" s="373">
        <f t="shared" si="45"/>
        <v>110000</v>
      </c>
      <c r="M77" s="373">
        <f t="shared" si="45"/>
        <v>110000</v>
      </c>
      <c r="N77" s="373">
        <f t="shared" si="45"/>
        <v>110000</v>
      </c>
      <c r="O77" s="373">
        <f t="shared" si="45"/>
        <v>110000</v>
      </c>
      <c r="P77" s="373">
        <f t="shared" si="45"/>
        <v>0</v>
      </c>
      <c r="Q77" s="373">
        <f t="shared" si="45"/>
        <v>0</v>
      </c>
      <c r="R77" s="373">
        <f t="shared" si="45"/>
        <v>0</v>
      </c>
      <c r="S77" s="373">
        <f t="shared" si="45"/>
        <v>0</v>
      </c>
      <c r="T77" s="373">
        <f t="shared" si="45"/>
        <v>0</v>
      </c>
      <c r="U77" s="373">
        <f t="shared" si="45"/>
        <v>0</v>
      </c>
      <c r="V77" s="373">
        <f t="shared" si="45"/>
        <v>25000</v>
      </c>
      <c r="W77" s="373">
        <f t="shared" si="45"/>
        <v>0</v>
      </c>
      <c r="X77" s="373">
        <f t="shared" si="45"/>
        <v>44584</v>
      </c>
      <c r="Y77" s="373">
        <f t="shared" si="45"/>
        <v>0</v>
      </c>
      <c r="Z77" s="373">
        <f t="shared" si="45"/>
        <v>0</v>
      </c>
      <c r="AA77" s="373">
        <f t="shared" si="45"/>
        <v>0</v>
      </c>
      <c r="AB77" s="373">
        <f t="shared" si="45"/>
        <v>69584</v>
      </c>
      <c r="AC77" s="373">
        <f t="shared" si="45"/>
        <v>0</v>
      </c>
      <c r="AD77" s="373">
        <f t="shared" si="45"/>
        <v>69584</v>
      </c>
      <c r="AE77" s="373">
        <f t="shared" si="45"/>
        <v>40416</v>
      </c>
      <c r="AF77" s="373">
        <f t="shared" si="45"/>
        <v>40416</v>
      </c>
    </row>
    <row r="78" spans="1:32" x14ac:dyDescent="0.25">
      <c r="A78" s="472" t="s">
        <v>119</v>
      </c>
      <c r="B78" s="478"/>
      <c r="C78" s="373">
        <f>C69+C77</f>
        <v>359156</v>
      </c>
      <c r="D78" s="373">
        <f>D69+D77</f>
        <v>0</v>
      </c>
      <c r="E78" s="373">
        <f>E69+E77</f>
        <v>0</v>
      </c>
      <c r="F78" s="373">
        <f>F69+F77</f>
        <v>0</v>
      </c>
      <c r="G78" s="373">
        <f t="shared" ref="G78:AF78" si="48">G69+G77</f>
        <v>-45156</v>
      </c>
      <c r="H78" s="373">
        <f t="shared" ref="H78:K78" si="49">H69+H77</f>
        <v>0</v>
      </c>
      <c r="I78" s="373">
        <f t="shared" ref="I78:J78" si="50">I69+I77</f>
        <v>0</v>
      </c>
      <c r="J78" s="373">
        <f t="shared" si="50"/>
        <v>0</v>
      </c>
      <c r="K78" s="373">
        <f t="shared" si="49"/>
        <v>0</v>
      </c>
      <c r="L78" s="373">
        <f t="shared" si="48"/>
        <v>314000</v>
      </c>
      <c r="M78" s="373">
        <f t="shared" si="48"/>
        <v>127000</v>
      </c>
      <c r="N78" s="373">
        <f t="shared" si="48"/>
        <v>314000</v>
      </c>
      <c r="O78" s="373">
        <f t="shared" si="48"/>
        <v>314000</v>
      </c>
      <c r="P78" s="373">
        <f t="shared" si="48"/>
        <v>0</v>
      </c>
      <c r="Q78" s="373">
        <f t="shared" si="48"/>
        <v>0</v>
      </c>
      <c r="R78" s="373">
        <f t="shared" si="48"/>
        <v>0</v>
      </c>
      <c r="S78" s="373">
        <f t="shared" si="48"/>
        <v>0</v>
      </c>
      <c r="T78" s="373">
        <f t="shared" si="48"/>
        <v>0</v>
      </c>
      <c r="U78" s="373">
        <f t="shared" si="48"/>
        <v>0</v>
      </c>
      <c r="V78" s="373">
        <f t="shared" si="48"/>
        <v>25000</v>
      </c>
      <c r="W78" s="373">
        <f t="shared" si="48"/>
        <v>0</v>
      </c>
      <c r="X78" s="373">
        <f t="shared" si="48"/>
        <v>44584</v>
      </c>
      <c r="Y78" s="373">
        <f t="shared" si="48"/>
        <v>0</v>
      </c>
      <c r="Z78" s="373">
        <f t="shared" si="48"/>
        <v>0</v>
      </c>
      <c r="AA78" s="373">
        <f t="shared" si="48"/>
        <v>0</v>
      </c>
      <c r="AB78" s="373">
        <f t="shared" si="48"/>
        <v>69584</v>
      </c>
      <c r="AC78" s="373">
        <f>AC69+AC77</f>
        <v>0</v>
      </c>
      <c r="AD78" s="373">
        <f t="shared" si="48"/>
        <v>69584</v>
      </c>
      <c r="AE78" s="373">
        <f t="shared" si="48"/>
        <v>244416</v>
      </c>
      <c r="AF78" s="373">
        <f t="shared" si="48"/>
        <v>244416</v>
      </c>
    </row>
    <row r="79" spans="1:32" ht="15.75" thickBot="1" x14ac:dyDescent="0.3">
      <c r="A79" s="486" t="s">
        <v>160</v>
      </c>
      <c r="B79" s="486"/>
      <c r="C79" s="552">
        <f t="shared" ref="C79:F79" si="51">C78+C58+C31</f>
        <v>9707840.4600000009</v>
      </c>
      <c r="D79" s="552">
        <f t="shared" ref="D79" si="52">D78+D58+D31</f>
        <v>0</v>
      </c>
      <c r="E79" s="552">
        <f t="shared" ref="E79" si="53">E78+E58+E31</f>
        <v>-71324.759999999995</v>
      </c>
      <c r="F79" s="552">
        <f t="shared" si="51"/>
        <v>-387357.51</v>
      </c>
      <c r="G79" s="552">
        <f t="shared" ref="G79:AF79" si="54">G78+G58+G31</f>
        <v>-45156</v>
      </c>
      <c r="H79" s="552">
        <f t="shared" ref="H79:K79" si="55">H78+H58+H31</f>
        <v>0</v>
      </c>
      <c r="I79" s="552">
        <f t="shared" ref="I79:J79" si="56">I78+I58+I31</f>
        <v>5060</v>
      </c>
      <c r="J79" s="552">
        <f t="shared" si="56"/>
        <v>-384945.91999999998</v>
      </c>
      <c r="K79" s="552">
        <f t="shared" si="55"/>
        <v>200000</v>
      </c>
      <c r="L79" s="552">
        <f t="shared" si="54"/>
        <v>9024116.2699999996</v>
      </c>
      <c r="M79" s="552">
        <f t="shared" si="54"/>
        <v>6194986.0358333346</v>
      </c>
      <c r="N79" s="552">
        <f t="shared" si="54"/>
        <v>1039843.0225000001</v>
      </c>
      <c r="O79" s="552">
        <f t="shared" si="54"/>
        <v>7107829.0583333317</v>
      </c>
      <c r="P79" s="552">
        <f t="shared" si="54"/>
        <v>376035.27</v>
      </c>
      <c r="Q79" s="552">
        <f t="shared" si="54"/>
        <v>295056.7</v>
      </c>
      <c r="R79" s="552">
        <f t="shared" si="54"/>
        <v>392678.13</v>
      </c>
      <c r="S79" s="552">
        <f t="shared" si="54"/>
        <v>369622.29000000004</v>
      </c>
      <c r="T79" s="552">
        <f t="shared" si="54"/>
        <v>466830.98</v>
      </c>
      <c r="U79" s="552">
        <f t="shared" si="54"/>
        <v>386894.31</v>
      </c>
      <c r="V79" s="552">
        <f t="shared" si="54"/>
        <v>403214.27999999997</v>
      </c>
      <c r="W79" s="552">
        <f t="shared" si="54"/>
        <v>322820.7</v>
      </c>
      <c r="X79" s="552">
        <f t="shared" si="54"/>
        <v>446766.79</v>
      </c>
      <c r="Y79" s="552">
        <f t="shared" si="54"/>
        <v>303159.73</v>
      </c>
      <c r="Z79" s="552">
        <f t="shared" si="54"/>
        <v>0</v>
      </c>
      <c r="AA79" s="552">
        <f t="shared" si="54"/>
        <v>0</v>
      </c>
      <c r="AB79" s="552">
        <f t="shared" si="54"/>
        <v>3459919.45</v>
      </c>
      <c r="AC79" s="552">
        <f t="shared" si="54"/>
        <v>303159.73</v>
      </c>
      <c r="AD79" s="552">
        <f t="shared" si="54"/>
        <v>3763079.1799999997</v>
      </c>
      <c r="AE79" s="552">
        <f t="shared" si="54"/>
        <v>3344749.8783333334</v>
      </c>
      <c r="AF79" s="552">
        <f t="shared" si="54"/>
        <v>5261037.09</v>
      </c>
    </row>
    <row r="80" spans="1:32" ht="15.75" thickTop="1" x14ac:dyDescent="0.25"/>
    <row r="82" spans="1:31" x14ac:dyDescent="0.25">
      <c r="A82" s="29" t="s">
        <v>354</v>
      </c>
      <c r="B82" s="488"/>
      <c r="C82" s="489"/>
      <c r="D82" s="489"/>
      <c r="E82" s="489"/>
      <c r="F82" s="489"/>
      <c r="G82" s="489"/>
      <c r="H82" s="489"/>
      <c r="I82" s="489"/>
      <c r="J82" s="489"/>
      <c r="K82" s="489"/>
      <c r="L82" s="489"/>
      <c r="M82" s="489"/>
      <c r="N82" s="489"/>
      <c r="AE82" s="490" t="s">
        <v>357</v>
      </c>
    </row>
    <row r="83" spans="1:31" x14ac:dyDescent="0.25">
      <c r="B83" s="488"/>
      <c r="C83" s="489"/>
      <c r="D83" s="489"/>
      <c r="E83" s="489"/>
      <c r="F83" s="489"/>
      <c r="G83" s="489"/>
      <c r="H83" s="489"/>
      <c r="I83" s="489"/>
      <c r="J83" s="489"/>
      <c r="K83" s="489"/>
      <c r="L83" s="489"/>
      <c r="M83" s="489"/>
      <c r="N83" s="489"/>
      <c r="AE83" s="490"/>
    </row>
    <row r="84" spans="1:31" x14ac:dyDescent="0.25">
      <c r="B84" s="488"/>
      <c r="C84" s="489"/>
      <c r="D84" s="489"/>
      <c r="E84" s="489"/>
      <c r="F84" s="489"/>
      <c r="G84" s="489"/>
      <c r="H84" s="489"/>
      <c r="I84" s="489"/>
      <c r="J84" s="489"/>
      <c r="K84" s="489"/>
      <c r="L84" s="489"/>
      <c r="M84" s="489"/>
      <c r="N84" s="489"/>
      <c r="AE84" s="490"/>
    </row>
    <row r="85" spans="1:31" x14ac:dyDescent="0.25">
      <c r="B85" s="491"/>
      <c r="C85" s="492"/>
      <c r="D85" s="492"/>
      <c r="E85" s="492"/>
      <c r="F85" s="492"/>
      <c r="G85" s="492"/>
      <c r="H85" s="492"/>
      <c r="I85" s="492"/>
      <c r="J85" s="492"/>
      <c r="K85" s="492"/>
      <c r="L85" s="492"/>
      <c r="M85" s="492"/>
      <c r="N85" s="492"/>
    </row>
    <row r="86" spans="1:31" x14ac:dyDescent="0.25">
      <c r="A86" s="493" t="s">
        <v>355</v>
      </c>
      <c r="B86" s="494"/>
      <c r="C86" s="495"/>
      <c r="D86" s="495"/>
      <c r="E86" s="495"/>
      <c r="F86" s="495"/>
      <c r="G86" s="495"/>
      <c r="H86" s="495"/>
      <c r="I86" s="495"/>
      <c r="J86" s="495"/>
      <c r="K86" s="495"/>
      <c r="L86" s="495"/>
      <c r="M86" s="495"/>
      <c r="N86" s="495"/>
      <c r="AE86" s="496" t="s">
        <v>358</v>
      </c>
    </row>
    <row r="87" spans="1:31" x14ac:dyDescent="0.25">
      <c r="A87" s="490" t="s">
        <v>356</v>
      </c>
      <c r="AE87" s="490" t="s">
        <v>359</v>
      </c>
    </row>
  </sheetData>
  <mergeCells count="3">
    <mergeCell ref="A1:AF1"/>
    <mergeCell ref="A2:AF2"/>
    <mergeCell ref="A3:AF3"/>
  </mergeCells>
  <printOptions horizontalCentered="1" headings="1"/>
  <pageMargins left="0.8" right="0.2" top="1.5" bottom="0.75" header="0.3" footer="0.3"/>
  <pageSetup paperSize="5" scale="51" orientation="landscape" r:id="rId1"/>
  <rowBreaks count="1" manualBreakCount="1">
    <brk id="52" max="30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view="pageBreakPreview" topLeftCell="A49" zoomScale="93" zoomScaleNormal="100" zoomScaleSheetLayoutView="93" workbookViewId="0">
      <pane xSplit="1" topLeftCell="AC1" activePane="topRight" state="frozen"/>
      <selection pane="topRight" activeCell="AM66" sqref="AM66"/>
    </sheetView>
  </sheetViews>
  <sheetFormatPr defaultRowHeight="15" outlineLevelCol="1" x14ac:dyDescent="0.25"/>
  <cols>
    <col min="1" max="1" width="44" style="29" customWidth="1"/>
    <col min="2" max="2" width="12.7109375" style="29" customWidth="1"/>
    <col min="3" max="12" width="14.28515625" style="29" customWidth="1"/>
    <col min="13" max="13" width="12.7109375" style="29"/>
    <col min="14" max="22" width="12.7109375" style="708" hidden="1" customWidth="1" outlineLevel="1"/>
    <col min="23" max="25" width="12.7109375" style="29" hidden="1" customWidth="1" outlineLevel="1"/>
    <col min="26" max="26" width="14" style="29" customWidth="1" collapsed="1"/>
    <col min="27" max="29" width="12.7109375" style="29"/>
    <col min="30" max="30" width="12.140625" style="29" customWidth="1"/>
    <col min="31" max="16384" width="9.140625" style="29"/>
  </cols>
  <sheetData>
    <row r="1" spans="1:30" x14ac:dyDescent="0.25">
      <c r="A1" s="1439" t="s">
        <v>352</v>
      </c>
      <c r="B1" s="1439"/>
      <c r="C1" s="1439"/>
      <c r="D1" s="1439"/>
      <c r="E1" s="1439"/>
      <c r="F1" s="1439"/>
      <c r="G1" s="1439"/>
      <c r="H1" s="1439"/>
      <c r="I1" s="1439"/>
      <c r="J1" s="1439"/>
      <c r="K1" s="1439"/>
      <c r="L1" s="1439"/>
      <c r="M1" s="1439"/>
      <c r="N1" s="1439"/>
      <c r="O1" s="1439"/>
      <c r="P1" s="1439"/>
      <c r="Q1" s="1439"/>
      <c r="R1" s="1439"/>
      <c r="S1" s="1439"/>
      <c r="T1" s="1439"/>
      <c r="U1" s="1439"/>
      <c r="V1" s="1439"/>
      <c r="W1" s="1439"/>
      <c r="X1" s="1439"/>
      <c r="Y1" s="1439"/>
      <c r="Z1" s="1439"/>
      <c r="AA1" s="1439"/>
      <c r="AB1" s="1439"/>
      <c r="AC1" s="1439"/>
      <c r="AD1" s="1439"/>
    </row>
    <row r="2" spans="1:30" x14ac:dyDescent="0.25">
      <c r="A2" s="1439" t="s">
        <v>353</v>
      </c>
      <c r="B2" s="1439"/>
      <c r="C2" s="1439"/>
      <c r="D2" s="1439"/>
      <c r="E2" s="1439"/>
      <c r="F2" s="1439"/>
      <c r="G2" s="1439"/>
      <c r="H2" s="1439"/>
      <c r="I2" s="1439"/>
      <c r="J2" s="1439"/>
      <c r="K2" s="1439"/>
      <c r="L2" s="1439"/>
      <c r="M2" s="1439"/>
      <c r="N2" s="1439"/>
      <c r="O2" s="1439"/>
      <c r="P2" s="1439"/>
      <c r="Q2" s="1439"/>
      <c r="R2" s="1439"/>
      <c r="S2" s="1439"/>
      <c r="T2" s="1439"/>
      <c r="U2" s="1439"/>
      <c r="V2" s="1439"/>
      <c r="W2" s="1439"/>
      <c r="X2" s="1439"/>
      <c r="Y2" s="1439"/>
      <c r="Z2" s="1439"/>
      <c r="AA2" s="1439"/>
      <c r="AB2" s="1439"/>
      <c r="AC2" s="1439"/>
      <c r="AD2" s="1439"/>
    </row>
    <row r="3" spans="1:30" ht="15.75" thickBot="1" x14ac:dyDescent="0.3">
      <c r="A3" s="1440" t="str">
        <f>'1091-MTO'!A3:AF3</f>
        <v>For the Period October 1-31, 2021</v>
      </c>
      <c r="B3" s="1440"/>
      <c r="C3" s="1440"/>
      <c r="D3" s="1440"/>
      <c r="E3" s="1440"/>
      <c r="F3" s="1440"/>
      <c r="G3" s="1440"/>
      <c r="H3" s="1440"/>
      <c r="I3" s="1440"/>
      <c r="J3" s="1440"/>
      <c r="K3" s="1440"/>
      <c r="L3" s="1440"/>
      <c r="M3" s="1440"/>
      <c r="N3" s="1440"/>
      <c r="O3" s="1440"/>
      <c r="P3" s="1440"/>
      <c r="Q3" s="1440"/>
      <c r="R3" s="1440"/>
      <c r="S3" s="1440"/>
      <c r="T3" s="1440"/>
      <c r="U3" s="1440"/>
      <c r="V3" s="1440"/>
      <c r="W3" s="1440"/>
      <c r="X3" s="1440"/>
      <c r="Y3" s="1440"/>
      <c r="Z3" s="1440"/>
      <c r="AA3" s="1440"/>
      <c r="AB3" s="1440"/>
      <c r="AC3" s="1440"/>
      <c r="AD3" s="1440"/>
    </row>
    <row r="4" spans="1:30" ht="27" thickTop="1" x14ac:dyDescent="0.25">
      <c r="A4" s="463" t="s">
        <v>347</v>
      </c>
      <c r="B4" s="463" t="s">
        <v>2</v>
      </c>
      <c r="C4" s="463" t="s">
        <v>133</v>
      </c>
      <c r="D4" s="463" t="s">
        <v>1374</v>
      </c>
      <c r="E4" s="1140" t="s">
        <v>1205</v>
      </c>
      <c r="F4" s="463" t="s">
        <v>1338</v>
      </c>
      <c r="G4" s="463" t="s">
        <v>1321</v>
      </c>
      <c r="H4" s="463" t="s">
        <v>1227</v>
      </c>
      <c r="I4" s="1140" t="s">
        <v>1205</v>
      </c>
      <c r="J4" s="463" t="s">
        <v>1</v>
      </c>
      <c r="K4" s="463" t="s">
        <v>316</v>
      </c>
      <c r="L4" s="463" t="s">
        <v>314</v>
      </c>
      <c r="M4" s="465" t="s">
        <v>346</v>
      </c>
      <c r="N4" s="519"/>
      <c r="O4" s="519"/>
      <c r="P4" s="519"/>
      <c r="Q4" s="519"/>
      <c r="R4" s="230"/>
      <c r="S4" s="230"/>
      <c r="T4" s="230"/>
      <c r="U4" s="230"/>
      <c r="V4" s="230"/>
      <c r="W4" s="230"/>
      <c r="X4" s="230"/>
      <c r="Y4" s="230"/>
      <c r="Z4" s="465" t="s">
        <v>316</v>
      </c>
      <c r="AA4" s="465" t="s">
        <v>348</v>
      </c>
      <c r="AB4" s="465" t="s">
        <v>1</v>
      </c>
      <c r="AC4" s="465" t="s">
        <v>131</v>
      </c>
      <c r="AD4" s="465" t="s">
        <v>131</v>
      </c>
    </row>
    <row r="5" spans="1:30" ht="15.75" thickBot="1" x14ac:dyDescent="0.3">
      <c r="A5" s="469"/>
      <c r="B5" s="469" t="s">
        <v>3</v>
      </c>
      <c r="C5" s="469" t="s">
        <v>134</v>
      </c>
      <c r="D5" s="1112">
        <v>44459</v>
      </c>
      <c r="E5" s="1112" t="s">
        <v>1355</v>
      </c>
      <c r="F5" s="469" t="s">
        <v>1341</v>
      </c>
      <c r="G5" s="469" t="s">
        <v>1325</v>
      </c>
      <c r="H5" s="1112">
        <v>44305</v>
      </c>
      <c r="I5" s="1112" t="s">
        <v>1312</v>
      </c>
      <c r="J5" s="469" t="s">
        <v>314</v>
      </c>
      <c r="K5" s="469" t="s">
        <v>314</v>
      </c>
      <c r="L5" s="469" t="s">
        <v>315</v>
      </c>
      <c r="M5" s="470" t="s">
        <v>315</v>
      </c>
      <c r="N5" s="470" t="s">
        <v>0</v>
      </c>
      <c r="O5" s="470" t="s">
        <v>120</v>
      </c>
      <c r="P5" s="470" t="s">
        <v>121</v>
      </c>
      <c r="Q5" s="470" t="s">
        <v>122</v>
      </c>
      <c r="R5" s="470" t="s">
        <v>123</v>
      </c>
      <c r="S5" s="470" t="s">
        <v>124</v>
      </c>
      <c r="T5" s="470" t="s">
        <v>125</v>
      </c>
      <c r="U5" s="470" t="s">
        <v>126</v>
      </c>
      <c r="V5" s="470" t="s">
        <v>127</v>
      </c>
      <c r="W5" s="470" t="s">
        <v>128</v>
      </c>
      <c r="X5" s="470" t="s">
        <v>129</v>
      </c>
      <c r="Y5" s="470" t="s">
        <v>130</v>
      </c>
      <c r="Z5" s="470" t="s">
        <v>317</v>
      </c>
      <c r="AA5" s="470" t="s">
        <v>315</v>
      </c>
      <c r="AB5" s="470" t="s">
        <v>317</v>
      </c>
      <c r="AC5" s="470" t="s">
        <v>314</v>
      </c>
      <c r="AD5" s="470" t="s">
        <v>132</v>
      </c>
    </row>
    <row r="6" spans="1:30" ht="15.75" thickTop="1" x14ac:dyDescent="0.25">
      <c r="A6" s="444" t="s">
        <v>746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7"/>
      <c r="O6" s="267"/>
      <c r="P6" s="267"/>
      <c r="Q6" s="267"/>
      <c r="R6" s="267"/>
      <c r="S6" s="267"/>
      <c r="T6" s="267"/>
      <c r="U6" s="267"/>
      <c r="V6" s="267"/>
      <c r="W6" s="268"/>
      <c r="X6" s="268"/>
      <c r="Y6" s="268"/>
      <c r="Z6" s="268"/>
      <c r="AA6" s="268"/>
      <c r="AB6" s="268"/>
      <c r="AC6" s="268"/>
      <c r="AD6" s="268"/>
    </row>
    <row r="7" spans="1:30" x14ac:dyDescent="0.25">
      <c r="A7" s="554" t="s">
        <v>658</v>
      </c>
      <c r="B7" s="473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99"/>
      <c r="N7" s="673"/>
      <c r="O7" s="673"/>
      <c r="P7" s="673"/>
      <c r="Q7" s="673"/>
      <c r="R7" s="673"/>
      <c r="S7" s="673"/>
      <c r="T7" s="673"/>
      <c r="U7" s="673"/>
      <c r="V7" s="673"/>
      <c r="W7" s="99"/>
      <c r="X7" s="99"/>
      <c r="Y7" s="99"/>
      <c r="Z7" s="99"/>
      <c r="AA7" s="99"/>
      <c r="AB7" s="43"/>
      <c r="AC7" s="43"/>
      <c r="AD7" s="99"/>
    </row>
    <row r="8" spans="1:30" x14ac:dyDescent="0.25">
      <c r="A8" s="555" t="s">
        <v>659</v>
      </c>
      <c r="B8" s="556" t="s">
        <v>6</v>
      </c>
      <c r="C8" s="43">
        <v>2157528</v>
      </c>
      <c r="D8" s="718">
        <f>-66252</f>
        <v>-66252</v>
      </c>
      <c r="E8" s="718"/>
      <c r="F8" s="718">
        <f>-265008</f>
        <v>-265008</v>
      </c>
      <c r="G8" s="718">
        <f>-132504</f>
        <v>-132504</v>
      </c>
      <c r="H8" s="718"/>
      <c r="I8" s="718"/>
      <c r="J8" s="58">
        <f>SUM(C8:I8)</f>
        <v>1693764</v>
      </c>
      <c r="K8" s="58">
        <f>J8/12*9</f>
        <v>1270323</v>
      </c>
      <c r="L8" s="58">
        <f>J8/12</f>
        <v>141147</v>
      </c>
      <c r="M8" s="43">
        <f>K8+L8</f>
        <v>1411470</v>
      </c>
      <c r="N8" s="673">
        <v>109377</v>
      </c>
      <c r="O8" s="673">
        <v>109377</v>
      </c>
      <c r="P8" s="673">
        <v>109377</v>
      </c>
      <c r="Q8" s="673">
        <v>123773</v>
      </c>
      <c r="R8" s="673">
        <v>112976</v>
      </c>
      <c r="S8" s="673">
        <v>112976</v>
      </c>
      <c r="T8" s="673">
        <v>114071.42</v>
      </c>
      <c r="U8" s="673">
        <v>114108</v>
      </c>
      <c r="V8" s="673">
        <v>114108</v>
      </c>
      <c r="W8" s="673">
        <v>114108</v>
      </c>
      <c r="X8" s="99"/>
      <c r="Y8" s="99"/>
      <c r="Z8" s="475">
        <f>N8+O8+P8+Q8+R8+S8+T8+U8+V8</f>
        <v>1020143.42</v>
      </c>
      <c r="AA8" s="90">
        <f>W8</f>
        <v>114108</v>
      </c>
      <c r="AB8" s="43">
        <f>Z8+AA8</f>
        <v>1134251.42</v>
      </c>
      <c r="AC8" s="43">
        <f>M8-AB8</f>
        <v>277218.58000000007</v>
      </c>
      <c r="AD8" s="475">
        <f>J8-AB8</f>
        <v>559512.58000000007</v>
      </c>
    </row>
    <row r="9" spans="1:30" hidden="1" x14ac:dyDescent="0.25">
      <c r="A9" s="555" t="s">
        <v>660</v>
      </c>
      <c r="B9" s="556" t="s">
        <v>8</v>
      </c>
      <c r="C9" s="43"/>
      <c r="D9" s="718"/>
      <c r="E9" s="718"/>
      <c r="F9" s="718"/>
      <c r="G9" s="718"/>
      <c r="H9" s="718"/>
      <c r="I9" s="718"/>
      <c r="J9" s="666">
        <f t="shared" ref="J9:J31" si="0">SUM(C9:I9)</f>
        <v>0</v>
      </c>
      <c r="K9" s="666">
        <f t="shared" ref="K9:K31" si="1">J9/12*9</f>
        <v>0</v>
      </c>
      <c r="L9" s="58"/>
      <c r="M9" s="43">
        <f>SUM(B9:L9)</f>
        <v>0</v>
      </c>
      <c r="N9" s="673"/>
      <c r="O9" s="673"/>
      <c r="P9" s="673"/>
      <c r="Q9" s="673"/>
      <c r="R9" s="673"/>
      <c r="S9" s="673"/>
      <c r="T9" s="673"/>
      <c r="U9" s="673"/>
      <c r="V9" s="673"/>
      <c r="W9" s="673"/>
      <c r="X9" s="99"/>
      <c r="Y9" s="99"/>
      <c r="Z9" s="475">
        <f t="shared" ref="Z9:Z31" si="2">N9+O9+P9+Q9+R9+S9+T9+U9+V9</f>
        <v>0</v>
      </c>
      <c r="AA9" s="673">
        <f t="shared" ref="AA9:AA31" si="3">W9</f>
        <v>0</v>
      </c>
      <c r="AB9" s="43">
        <f>SUM(N9:Y9)</f>
        <v>0</v>
      </c>
      <c r="AC9" s="718">
        <f t="shared" ref="AC9:AC31" si="4">M9-AB9</f>
        <v>0</v>
      </c>
      <c r="AD9" s="475">
        <f t="shared" ref="AD9:AD31" si="5">J9-AB9</f>
        <v>0</v>
      </c>
    </row>
    <row r="10" spans="1:30" x14ac:dyDescent="0.25">
      <c r="A10" s="555" t="s">
        <v>714</v>
      </c>
      <c r="B10" s="556"/>
      <c r="C10" s="43"/>
      <c r="D10" s="718"/>
      <c r="E10" s="718"/>
      <c r="F10" s="718"/>
      <c r="G10" s="718"/>
      <c r="H10" s="718"/>
      <c r="I10" s="718"/>
      <c r="J10" s="666">
        <f t="shared" si="0"/>
        <v>0</v>
      </c>
      <c r="K10" s="666">
        <f t="shared" si="1"/>
        <v>0</v>
      </c>
      <c r="L10" s="58"/>
      <c r="M10" s="43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99"/>
      <c r="Y10" s="99"/>
      <c r="Z10" s="475">
        <f t="shared" si="2"/>
        <v>0</v>
      </c>
      <c r="AA10" s="673">
        <f t="shared" si="3"/>
        <v>0</v>
      </c>
      <c r="AB10" s="43"/>
      <c r="AC10" s="718">
        <f t="shared" si="4"/>
        <v>0</v>
      </c>
      <c r="AD10" s="475">
        <f t="shared" si="5"/>
        <v>0</v>
      </c>
    </row>
    <row r="11" spans="1:30" x14ac:dyDescent="0.25">
      <c r="A11" s="557" t="s">
        <v>661</v>
      </c>
      <c r="B11" s="558"/>
      <c r="C11" s="58"/>
      <c r="D11" s="666"/>
      <c r="E11" s="666"/>
      <c r="F11" s="666"/>
      <c r="G11" s="666"/>
      <c r="H11" s="666"/>
      <c r="I11" s="666"/>
      <c r="J11" s="666">
        <f t="shared" si="0"/>
        <v>0</v>
      </c>
      <c r="K11" s="666">
        <f t="shared" si="1"/>
        <v>0</v>
      </c>
      <c r="L11" s="58">
        <f t="shared" ref="L11:L18" si="6">J11/12</f>
        <v>0</v>
      </c>
      <c r="M11" s="43">
        <f t="shared" ref="M11:M18" si="7">K11+L11</f>
        <v>0</v>
      </c>
      <c r="N11" s="673"/>
      <c r="O11" s="673"/>
      <c r="P11" s="673"/>
      <c r="Q11" s="673"/>
      <c r="R11" s="673"/>
      <c r="S11" s="673"/>
      <c r="T11" s="673"/>
      <c r="U11" s="673"/>
      <c r="V11" s="673"/>
      <c r="W11" s="673"/>
      <c r="X11" s="99"/>
      <c r="Y11" s="99"/>
      <c r="Z11" s="475">
        <f t="shared" si="2"/>
        <v>0</v>
      </c>
      <c r="AA11" s="673">
        <f t="shared" si="3"/>
        <v>0</v>
      </c>
      <c r="AB11" s="43">
        <f t="shared" ref="AB11:AB12" si="8">Z11+AA11</f>
        <v>0</v>
      </c>
      <c r="AC11" s="718">
        <f t="shared" si="4"/>
        <v>0</v>
      </c>
      <c r="AD11" s="475">
        <f t="shared" si="5"/>
        <v>0</v>
      </c>
    </row>
    <row r="12" spans="1:30" x14ac:dyDescent="0.25">
      <c r="A12" s="555" t="s">
        <v>662</v>
      </c>
      <c r="B12" s="558" t="s">
        <v>11</v>
      </c>
      <c r="C12" s="666">
        <v>144000</v>
      </c>
      <c r="D12" s="666">
        <f>-4000</f>
        <v>-4000</v>
      </c>
      <c r="E12" s="666"/>
      <c r="F12" s="666">
        <f>-16000</f>
        <v>-16000</v>
      </c>
      <c r="G12" s="666">
        <f>-8000</f>
        <v>-8000</v>
      </c>
      <c r="H12" s="666"/>
      <c r="I12" s="666"/>
      <c r="J12" s="666">
        <f t="shared" si="0"/>
        <v>116000</v>
      </c>
      <c r="K12" s="666">
        <f t="shared" si="1"/>
        <v>87000</v>
      </c>
      <c r="L12" s="58">
        <f t="shared" si="6"/>
        <v>9666.6666666666661</v>
      </c>
      <c r="M12" s="43">
        <f t="shared" si="7"/>
        <v>96666.666666666672</v>
      </c>
      <c r="N12" s="673">
        <v>8000</v>
      </c>
      <c r="O12" s="673">
        <v>8000</v>
      </c>
      <c r="P12" s="673">
        <v>8000</v>
      </c>
      <c r="Q12" s="673">
        <v>8000</v>
      </c>
      <c r="R12" s="673">
        <v>8000</v>
      </c>
      <c r="S12" s="673">
        <v>8000</v>
      </c>
      <c r="T12" s="673">
        <v>8000</v>
      </c>
      <c r="U12" s="673">
        <v>8000</v>
      </c>
      <c r="V12" s="673">
        <v>8000</v>
      </c>
      <c r="W12" s="673">
        <v>8000</v>
      </c>
      <c r="X12" s="90"/>
      <c r="Y12" s="90"/>
      <c r="Z12" s="475">
        <f t="shared" si="2"/>
        <v>72000</v>
      </c>
      <c r="AA12" s="673">
        <f t="shared" si="3"/>
        <v>8000</v>
      </c>
      <c r="AB12" s="43">
        <f t="shared" si="8"/>
        <v>80000</v>
      </c>
      <c r="AC12" s="718">
        <f t="shared" si="4"/>
        <v>16666.666666666672</v>
      </c>
      <c r="AD12" s="475">
        <f t="shared" si="5"/>
        <v>36000</v>
      </c>
    </row>
    <row r="13" spans="1:30" x14ac:dyDescent="0.25">
      <c r="A13" s="555" t="s">
        <v>663</v>
      </c>
      <c r="B13" s="556" t="s">
        <v>13</v>
      </c>
      <c r="C13" s="666">
        <v>120000</v>
      </c>
      <c r="D13" s="666">
        <f>-4000</f>
        <v>-4000</v>
      </c>
      <c r="E13" s="666"/>
      <c r="F13" s="666"/>
      <c r="G13" s="666">
        <f>-8000</f>
        <v>-8000</v>
      </c>
      <c r="H13" s="666"/>
      <c r="I13" s="666"/>
      <c r="J13" s="666">
        <f t="shared" si="0"/>
        <v>108000</v>
      </c>
      <c r="K13" s="666">
        <f t="shared" si="1"/>
        <v>81000</v>
      </c>
      <c r="L13" s="58">
        <f t="shared" si="6"/>
        <v>9000</v>
      </c>
      <c r="M13" s="43">
        <f t="shared" si="7"/>
        <v>90000</v>
      </c>
      <c r="N13" s="673">
        <v>6000</v>
      </c>
      <c r="O13" s="673">
        <v>6000</v>
      </c>
      <c r="P13" s="673">
        <v>6000</v>
      </c>
      <c r="Q13" s="673">
        <v>6000</v>
      </c>
      <c r="R13" s="673">
        <v>6000</v>
      </c>
      <c r="S13" s="673">
        <v>6000</v>
      </c>
      <c r="T13" s="673">
        <v>6000</v>
      </c>
      <c r="U13" s="673">
        <v>6000</v>
      </c>
      <c r="V13" s="673">
        <v>6000</v>
      </c>
      <c r="W13" s="673">
        <v>6000</v>
      </c>
      <c r="X13" s="90"/>
      <c r="Y13" s="90"/>
      <c r="Z13" s="475">
        <f t="shared" si="2"/>
        <v>54000</v>
      </c>
      <c r="AA13" s="673">
        <f t="shared" si="3"/>
        <v>6000</v>
      </c>
      <c r="AB13" s="718">
        <f t="shared" ref="AB13:AB31" si="9">Z13+AA13</f>
        <v>60000</v>
      </c>
      <c r="AC13" s="718">
        <f t="shared" si="4"/>
        <v>30000</v>
      </c>
      <c r="AD13" s="475">
        <f t="shared" si="5"/>
        <v>48000</v>
      </c>
    </row>
    <row r="14" spans="1:30" x14ac:dyDescent="0.25">
      <c r="A14" s="555" t="s">
        <v>664</v>
      </c>
      <c r="B14" s="559" t="s">
        <v>15</v>
      </c>
      <c r="C14" s="666">
        <v>120000</v>
      </c>
      <c r="D14" s="666">
        <f>-4000</f>
        <v>-4000</v>
      </c>
      <c r="E14" s="666"/>
      <c r="F14" s="666"/>
      <c r="G14" s="666">
        <f>-8000</f>
        <v>-8000</v>
      </c>
      <c r="H14" s="666"/>
      <c r="I14" s="666"/>
      <c r="J14" s="666">
        <f t="shared" si="0"/>
        <v>108000</v>
      </c>
      <c r="K14" s="666">
        <f t="shared" si="1"/>
        <v>81000</v>
      </c>
      <c r="L14" s="58">
        <f t="shared" si="6"/>
        <v>9000</v>
      </c>
      <c r="M14" s="43">
        <f t="shared" si="7"/>
        <v>90000</v>
      </c>
      <c r="N14" s="673">
        <v>6000</v>
      </c>
      <c r="O14" s="673">
        <v>6000</v>
      </c>
      <c r="P14" s="673">
        <v>6000</v>
      </c>
      <c r="Q14" s="673">
        <v>6000</v>
      </c>
      <c r="R14" s="673">
        <v>6000</v>
      </c>
      <c r="S14" s="673">
        <v>6000</v>
      </c>
      <c r="T14" s="673">
        <v>6000</v>
      </c>
      <c r="U14" s="673">
        <v>6000</v>
      </c>
      <c r="V14" s="673">
        <v>6000</v>
      </c>
      <c r="W14" s="673">
        <v>6000</v>
      </c>
      <c r="X14" s="90"/>
      <c r="Y14" s="90"/>
      <c r="Z14" s="475">
        <f t="shared" si="2"/>
        <v>54000</v>
      </c>
      <c r="AA14" s="673">
        <f t="shared" si="3"/>
        <v>6000</v>
      </c>
      <c r="AB14" s="718">
        <f t="shared" si="9"/>
        <v>60000</v>
      </c>
      <c r="AC14" s="718">
        <f t="shared" si="4"/>
        <v>30000</v>
      </c>
      <c r="AD14" s="475">
        <f t="shared" si="5"/>
        <v>48000</v>
      </c>
    </row>
    <row r="15" spans="1:30" x14ac:dyDescent="0.25">
      <c r="A15" s="555" t="s">
        <v>665</v>
      </c>
      <c r="B15" s="558" t="s">
        <v>17</v>
      </c>
      <c r="C15" s="666">
        <v>36000</v>
      </c>
      <c r="D15" s="666"/>
      <c r="E15" s="666"/>
      <c r="F15" s="666"/>
      <c r="G15" s="666"/>
      <c r="H15" s="666"/>
      <c r="I15" s="666"/>
      <c r="J15" s="666">
        <f t="shared" si="0"/>
        <v>36000</v>
      </c>
      <c r="K15" s="666">
        <f>J15/12*11</f>
        <v>33000</v>
      </c>
      <c r="L15" s="58">
        <f t="shared" si="6"/>
        <v>3000</v>
      </c>
      <c r="M15" s="43">
        <f t="shared" si="7"/>
        <v>36000</v>
      </c>
      <c r="N15" s="673">
        <v>16000</v>
      </c>
      <c r="O15" s="673"/>
      <c r="P15" s="673"/>
      <c r="Q15" s="673"/>
      <c r="R15" s="673"/>
      <c r="S15" s="673"/>
      <c r="T15" s="673"/>
      <c r="U15" s="673"/>
      <c r="V15" s="673"/>
      <c r="W15" s="90">
        <v>3300</v>
      </c>
      <c r="X15" s="90"/>
      <c r="Y15" s="90"/>
      <c r="Z15" s="475">
        <f t="shared" si="2"/>
        <v>16000</v>
      </c>
      <c r="AA15" s="673">
        <f t="shared" si="3"/>
        <v>3300</v>
      </c>
      <c r="AB15" s="718">
        <f t="shared" si="9"/>
        <v>19300</v>
      </c>
      <c r="AC15" s="718">
        <f t="shared" si="4"/>
        <v>16700</v>
      </c>
      <c r="AD15" s="475">
        <f t="shared" si="5"/>
        <v>16700</v>
      </c>
    </row>
    <row r="16" spans="1:30" x14ac:dyDescent="0.25">
      <c r="A16" s="555" t="s">
        <v>666</v>
      </c>
      <c r="B16" s="558" t="s">
        <v>21</v>
      </c>
      <c r="C16" s="58"/>
      <c r="D16" s="666"/>
      <c r="E16" s="666"/>
      <c r="F16" s="666"/>
      <c r="G16" s="666"/>
      <c r="H16" s="666"/>
      <c r="I16" s="666"/>
      <c r="J16" s="666">
        <f t="shared" si="0"/>
        <v>0</v>
      </c>
      <c r="K16" s="666">
        <f t="shared" si="1"/>
        <v>0</v>
      </c>
      <c r="L16" s="58">
        <f t="shared" si="6"/>
        <v>0</v>
      </c>
      <c r="M16" s="43">
        <f t="shared" si="7"/>
        <v>0</v>
      </c>
      <c r="N16" s="673"/>
      <c r="O16" s="673"/>
      <c r="P16" s="673"/>
      <c r="Q16" s="673"/>
      <c r="R16" s="673"/>
      <c r="S16" s="673"/>
      <c r="T16" s="673"/>
      <c r="U16" s="673"/>
      <c r="V16" s="673"/>
      <c r="W16" s="90"/>
      <c r="X16" s="90"/>
      <c r="Y16" s="90"/>
      <c r="Z16" s="475">
        <f t="shared" si="2"/>
        <v>0</v>
      </c>
      <c r="AA16" s="673">
        <f t="shared" si="3"/>
        <v>0</v>
      </c>
      <c r="AB16" s="718">
        <f t="shared" si="9"/>
        <v>0</v>
      </c>
      <c r="AC16" s="718">
        <f t="shared" si="4"/>
        <v>0</v>
      </c>
      <c r="AD16" s="475">
        <f t="shared" si="5"/>
        <v>0</v>
      </c>
    </row>
    <row r="17" spans="1:30" x14ac:dyDescent="0.25">
      <c r="A17" s="555" t="s">
        <v>715</v>
      </c>
      <c r="B17" s="558" t="s">
        <v>243</v>
      </c>
      <c r="C17" s="666">
        <v>30000</v>
      </c>
      <c r="D17" s="666"/>
      <c r="E17" s="666"/>
      <c r="F17" s="666"/>
      <c r="G17" s="666"/>
      <c r="H17" s="666"/>
      <c r="I17" s="666"/>
      <c r="J17" s="666">
        <f t="shared" si="0"/>
        <v>30000</v>
      </c>
      <c r="K17" s="666">
        <f t="shared" si="1"/>
        <v>22500</v>
      </c>
      <c r="L17" s="58">
        <f t="shared" si="6"/>
        <v>2500</v>
      </c>
      <c r="M17" s="43">
        <f t="shared" si="7"/>
        <v>25000</v>
      </c>
      <c r="N17" s="673"/>
      <c r="O17" s="673"/>
      <c r="P17" s="673"/>
      <c r="Q17" s="673"/>
      <c r="R17" s="673"/>
      <c r="S17" s="673"/>
      <c r="T17" s="673"/>
      <c r="U17" s="673"/>
      <c r="V17" s="673"/>
      <c r="W17" s="90"/>
      <c r="X17" s="90"/>
      <c r="Y17" s="90"/>
      <c r="Z17" s="475">
        <f t="shared" si="2"/>
        <v>0</v>
      </c>
      <c r="AA17" s="673">
        <f t="shared" si="3"/>
        <v>0</v>
      </c>
      <c r="AB17" s="718">
        <f t="shared" si="9"/>
        <v>0</v>
      </c>
      <c r="AC17" s="718">
        <f t="shared" si="4"/>
        <v>25000</v>
      </c>
      <c r="AD17" s="475">
        <f t="shared" si="5"/>
        <v>30000</v>
      </c>
    </row>
    <row r="18" spans="1:30" x14ac:dyDescent="0.25">
      <c r="A18" s="555" t="s">
        <v>667</v>
      </c>
      <c r="B18" s="556" t="s">
        <v>23</v>
      </c>
      <c r="C18" s="718">
        <v>180360</v>
      </c>
      <c r="D18" s="718"/>
      <c r="E18" s="718"/>
      <c r="F18" s="718"/>
      <c r="G18" s="718"/>
      <c r="H18" s="718"/>
      <c r="I18" s="718"/>
      <c r="J18" s="666">
        <f t="shared" si="0"/>
        <v>180360</v>
      </c>
      <c r="K18" s="666">
        <f t="shared" si="1"/>
        <v>135270</v>
      </c>
      <c r="L18" s="58">
        <f t="shared" si="6"/>
        <v>15030</v>
      </c>
      <c r="M18" s="43">
        <f t="shared" si="7"/>
        <v>150300</v>
      </c>
      <c r="N18" s="673"/>
      <c r="O18" s="673"/>
      <c r="P18" s="673"/>
      <c r="Q18" s="673"/>
      <c r="R18" s="673"/>
      <c r="S18" s="673"/>
      <c r="T18" s="673"/>
      <c r="U18" s="673"/>
      <c r="V18" s="673"/>
      <c r="W18" s="99"/>
      <c r="X18" s="99"/>
      <c r="Y18" s="99"/>
      <c r="Z18" s="475">
        <f t="shared" si="2"/>
        <v>0</v>
      </c>
      <c r="AA18" s="673">
        <f t="shared" si="3"/>
        <v>0</v>
      </c>
      <c r="AB18" s="718">
        <f t="shared" si="9"/>
        <v>0</v>
      </c>
      <c r="AC18" s="718">
        <f t="shared" si="4"/>
        <v>150300</v>
      </c>
      <c r="AD18" s="475">
        <f t="shared" si="5"/>
        <v>180360</v>
      </c>
    </row>
    <row r="19" spans="1:30" x14ac:dyDescent="0.25">
      <c r="A19" s="555" t="s">
        <v>668</v>
      </c>
      <c r="B19" s="556" t="s">
        <v>26</v>
      </c>
      <c r="C19" s="666">
        <v>30000</v>
      </c>
      <c r="D19" s="666"/>
      <c r="E19" s="666"/>
      <c r="F19" s="666"/>
      <c r="G19" s="666"/>
      <c r="H19" s="666"/>
      <c r="I19" s="666"/>
      <c r="J19" s="666">
        <f t="shared" si="0"/>
        <v>30000</v>
      </c>
      <c r="K19" s="666">
        <f t="shared" si="1"/>
        <v>22500</v>
      </c>
      <c r="L19" s="58">
        <f t="shared" ref="L19:L29" si="10">J19/12</f>
        <v>2500</v>
      </c>
      <c r="M19" s="43">
        <f t="shared" ref="M19:M29" si="11">K19+L19</f>
        <v>25000</v>
      </c>
      <c r="N19" s="673"/>
      <c r="O19" s="673"/>
      <c r="P19" s="673"/>
      <c r="Q19" s="673"/>
      <c r="R19" s="673"/>
      <c r="S19" s="673"/>
      <c r="T19" s="673"/>
      <c r="U19" s="673"/>
      <c r="V19" s="673"/>
      <c r="W19" s="99"/>
      <c r="X19" s="99"/>
      <c r="Y19" s="99"/>
      <c r="Z19" s="475">
        <f t="shared" si="2"/>
        <v>0</v>
      </c>
      <c r="AA19" s="673">
        <f t="shared" si="3"/>
        <v>0</v>
      </c>
      <c r="AB19" s="718">
        <f t="shared" si="9"/>
        <v>0</v>
      </c>
      <c r="AC19" s="718">
        <f t="shared" si="4"/>
        <v>25000</v>
      </c>
      <c r="AD19" s="475">
        <f t="shared" si="5"/>
        <v>30000</v>
      </c>
    </row>
    <row r="20" spans="1:30" x14ac:dyDescent="0.25">
      <c r="A20" s="560" t="s">
        <v>669</v>
      </c>
      <c r="B20" s="556" t="s">
        <v>27</v>
      </c>
      <c r="C20" s="43"/>
      <c r="D20" s="718"/>
      <c r="E20" s="718"/>
      <c r="F20" s="718"/>
      <c r="G20" s="718"/>
      <c r="H20" s="718"/>
      <c r="I20" s="718"/>
      <c r="J20" s="666">
        <f t="shared" si="0"/>
        <v>0</v>
      </c>
      <c r="K20" s="666">
        <f t="shared" si="1"/>
        <v>0</v>
      </c>
      <c r="L20" s="58">
        <f t="shared" si="10"/>
        <v>0</v>
      </c>
      <c r="M20" s="43">
        <f t="shared" si="11"/>
        <v>0</v>
      </c>
      <c r="N20" s="673"/>
      <c r="O20" s="673"/>
      <c r="P20" s="673"/>
      <c r="Q20" s="673"/>
      <c r="R20" s="673"/>
      <c r="S20" s="673"/>
      <c r="T20" s="673"/>
      <c r="U20" s="673"/>
      <c r="V20" s="673"/>
      <c r="W20" s="99"/>
      <c r="X20" s="99"/>
      <c r="Y20" s="99"/>
      <c r="Z20" s="475">
        <f t="shared" si="2"/>
        <v>0</v>
      </c>
      <c r="AA20" s="673">
        <f t="shared" si="3"/>
        <v>0</v>
      </c>
      <c r="AB20" s="718">
        <f t="shared" si="9"/>
        <v>0</v>
      </c>
      <c r="AC20" s="718">
        <f t="shared" si="4"/>
        <v>0</v>
      </c>
      <c r="AD20" s="475">
        <f t="shared" si="5"/>
        <v>0</v>
      </c>
    </row>
    <row r="21" spans="1:30" x14ac:dyDescent="0.25">
      <c r="A21" s="561" t="s">
        <v>670</v>
      </c>
      <c r="B21" s="558"/>
      <c r="C21" s="718">
        <v>179228</v>
      </c>
      <c r="D21" s="718"/>
      <c r="E21" s="718"/>
      <c r="F21" s="718"/>
      <c r="G21" s="718"/>
      <c r="H21" s="718"/>
      <c r="I21" s="718"/>
      <c r="J21" s="666">
        <f t="shared" si="0"/>
        <v>179228</v>
      </c>
      <c r="K21" s="666">
        <f t="shared" si="1"/>
        <v>134421</v>
      </c>
      <c r="L21" s="58">
        <f t="shared" si="10"/>
        <v>14935.666666666666</v>
      </c>
      <c r="M21" s="43">
        <f t="shared" si="11"/>
        <v>149356.66666666666</v>
      </c>
      <c r="N21" s="673"/>
      <c r="O21" s="673"/>
      <c r="P21" s="673"/>
      <c r="Q21" s="673"/>
      <c r="R21" s="708">
        <v>112976</v>
      </c>
      <c r="S21" s="673"/>
      <c r="T21" s="673"/>
      <c r="U21" s="673"/>
      <c r="V21" s="673"/>
      <c r="W21" s="99"/>
      <c r="X21" s="99"/>
      <c r="Y21" s="99"/>
      <c r="Z21" s="475">
        <f t="shared" si="2"/>
        <v>112976</v>
      </c>
      <c r="AA21" s="673">
        <f t="shared" si="3"/>
        <v>0</v>
      </c>
      <c r="AB21" s="718">
        <f t="shared" si="9"/>
        <v>112976</v>
      </c>
      <c r="AC21" s="718">
        <f t="shared" si="4"/>
        <v>36380.666666666657</v>
      </c>
      <c r="AD21" s="475">
        <f t="shared" si="5"/>
        <v>66252</v>
      </c>
    </row>
    <row r="22" spans="1:30" x14ac:dyDescent="0.25">
      <c r="A22" s="561" t="s">
        <v>671</v>
      </c>
      <c r="B22" s="556"/>
      <c r="C22" s="666">
        <v>30000</v>
      </c>
      <c r="D22" s="666"/>
      <c r="E22" s="666"/>
      <c r="F22" s="666"/>
      <c r="G22" s="666"/>
      <c r="H22" s="666"/>
      <c r="I22" s="666"/>
      <c r="J22" s="666">
        <f t="shared" si="0"/>
        <v>30000</v>
      </c>
      <c r="K22" s="666">
        <f t="shared" si="1"/>
        <v>22500</v>
      </c>
      <c r="L22" s="58">
        <f t="shared" si="10"/>
        <v>2500</v>
      </c>
      <c r="M22" s="43">
        <f t="shared" si="11"/>
        <v>25000</v>
      </c>
      <c r="N22" s="673"/>
      <c r="O22" s="673"/>
      <c r="P22" s="673"/>
      <c r="Q22" s="673"/>
      <c r="R22" s="673"/>
      <c r="S22" s="673"/>
      <c r="T22" s="673"/>
      <c r="U22" s="673"/>
      <c r="V22" s="673"/>
      <c r="W22" s="99"/>
      <c r="X22" s="99"/>
      <c r="Y22" s="99"/>
      <c r="Z22" s="475">
        <f t="shared" si="2"/>
        <v>0</v>
      </c>
      <c r="AA22" s="673">
        <f t="shared" si="3"/>
        <v>0</v>
      </c>
      <c r="AB22" s="718">
        <f t="shared" si="9"/>
        <v>0</v>
      </c>
      <c r="AC22" s="718">
        <f t="shared" si="4"/>
        <v>25000</v>
      </c>
      <c r="AD22" s="475">
        <f t="shared" si="5"/>
        <v>30000</v>
      </c>
    </row>
    <row r="23" spans="1:30" x14ac:dyDescent="0.25">
      <c r="A23" s="561" t="s">
        <v>725</v>
      </c>
      <c r="B23" s="556"/>
      <c r="C23" s="58"/>
      <c r="D23" s="666"/>
      <c r="E23" s="666"/>
      <c r="F23" s="666"/>
      <c r="G23" s="666"/>
      <c r="H23" s="666"/>
      <c r="I23" s="666"/>
      <c r="J23" s="666">
        <f t="shared" si="0"/>
        <v>0</v>
      </c>
      <c r="K23" s="666">
        <f t="shared" si="1"/>
        <v>0</v>
      </c>
      <c r="L23" s="58">
        <f t="shared" si="10"/>
        <v>0</v>
      </c>
      <c r="M23" s="43">
        <f t="shared" si="11"/>
        <v>0</v>
      </c>
      <c r="N23" s="673"/>
      <c r="O23" s="673"/>
      <c r="P23" s="673"/>
      <c r="Q23" s="673"/>
      <c r="R23" s="673"/>
      <c r="S23" s="673"/>
      <c r="T23" s="673"/>
      <c r="U23" s="673"/>
      <c r="V23" s="673"/>
      <c r="W23" s="99"/>
      <c r="X23" s="99"/>
      <c r="Y23" s="99"/>
      <c r="Z23" s="475">
        <f t="shared" si="2"/>
        <v>0</v>
      </c>
      <c r="AA23" s="673">
        <f t="shared" si="3"/>
        <v>0</v>
      </c>
      <c r="AB23" s="718">
        <f t="shared" si="9"/>
        <v>0</v>
      </c>
      <c r="AC23" s="718">
        <f t="shared" si="4"/>
        <v>0</v>
      </c>
      <c r="AD23" s="475">
        <f t="shared" si="5"/>
        <v>0</v>
      </c>
    </row>
    <row r="24" spans="1:30" x14ac:dyDescent="0.25">
      <c r="A24" s="561" t="s">
        <v>673</v>
      </c>
      <c r="B24" s="556"/>
      <c r="C24" s="58"/>
      <c r="D24" s="666"/>
      <c r="E24" s="666"/>
      <c r="F24" s="666"/>
      <c r="G24" s="666"/>
      <c r="H24" s="666"/>
      <c r="I24" s="666"/>
      <c r="J24" s="666">
        <f t="shared" si="0"/>
        <v>0</v>
      </c>
      <c r="K24" s="666">
        <f t="shared" si="1"/>
        <v>0</v>
      </c>
      <c r="L24" s="58">
        <f t="shared" si="10"/>
        <v>0</v>
      </c>
      <c r="M24" s="43">
        <f t="shared" si="11"/>
        <v>0</v>
      </c>
      <c r="N24" s="673"/>
      <c r="O24" s="673"/>
      <c r="P24" s="673"/>
      <c r="Q24" s="673"/>
      <c r="R24" s="673"/>
      <c r="S24" s="673"/>
      <c r="T24" s="673"/>
      <c r="U24" s="673"/>
      <c r="V24" s="673"/>
      <c r="W24" s="99"/>
      <c r="X24" s="99"/>
      <c r="Y24" s="99"/>
      <c r="Z24" s="475">
        <f t="shared" si="2"/>
        <v>0</v>
      </c>
      <c r="AA24" s="673">
        <f t="shared" si="3"/>
        <v>0</v>
      </c>
      <c r="AB24" s="718">
        <f t="shared" si="9"/>
        <v>0</v>
      </c>
      <c r="AC24" s="718">
        <f t="shared" si="4"/>
        <v>0</v>
      </c>
      <c r="AD24" s="475">
        <f t="shared" si="5"/>
        <v>0</v>
      </c>
    </row>
    <row r="25" spans="1:30" x14ac:dyDescent="0.25">
      <c r="A25" s="561" t="s">
        <v>674</v>
      </c>
      <c r="B25" s="556"/>
      <c r="C25" s="373"/>
      <c r="D25" s="373"/>
      <c r="E25" s="373"/>
      <c r="F25" s="373"/>
      <c r="G25" s="373"/>
      <c r="H25" s="373"/>
      <c r="I25" s="373"/>
      <c r="J25" s="666">
        <f t="shared" si="0"/>
        <v>0</v>
      </c>
      <c r="K25" s="666">
        <f t="shared" si="1"/>
        <v>0</v>
      </c>
      <c r="L25" s="58">
        <f t="shared" si="10"/>
        <v>0</v>
      </c>
      <c r="M25" s="43">
        <f t="shared" si="11"/>
        <v>0</v>
      </c>
      <c r="N25" s="673"/>
      <c r="O25" s="673"/>
      <c r="P25" s="673"/>
      <c r="Q25" s="673"/>
      <c r="S25" s="673"/>
      <c r="T25" s="673"/>
      <c r="U25" s="673"/>
      <c r="V25" s="673"/>
      <c r="W25" s="99"/>
      <c r="X25" s="99"/>
      <c r="Y25" s="99"/>
      <c r="Z25" s="475">
        <f t="shared" si="2"/>
        <v>0</v>
      </c>
      <c r="AA25" s="673">
        <f t="shared" si="3"/>
        <v>0</v>
      </c>
      <c r="AB25" s="718">
        <f t="shared" si="9"/>
        <v>0</v>
      </c>
      <c r="AC25" s="718">
        <f t="shared" si="4"/>
        <v>0</v>
      </c>
      <c r="AD25" s="475">
        <f t="shared" si="5"/>
        <v>0</v>
      </c>
    </row>
    <row r="26" spans="1:30" x14ac:dyDescent="0.25">
      <c r="A26" s="560" t="s">
        <v>370</v>
      </c>
      <c r="B26" s="556" t="s">
        <v>29</v>
      </c>
      <c r="C26" s="58"/>
      <c r="D26" s="666"/>
      <c r="E26" s="666"/>
      <c r="F26" s="666"/>
      <c r="G26" s="666"/>
      <c r="H26" s="666"/>
      <c r="I26" s="666"/>
      <c r="J26" s="666">
        <f t="shared" si="0"/>
        <v>0</v>
      </c>
      <c r="K26" s="666">
        <f t="shared" si="1"/>
        <v>0</v>
      </c>
      <c r="L26" s="58">
        <f t="shared" si="10"/>
        <v>0</v>
      </c>
      <c r="M26" s="43">
        <f t="shared" si="11"/>
        <v>0</v>
      </c>
      <c r="N26" s="673"/>
      <c r="O26" s="673"/>
      <c r="P26" s="673"/>
      <c r="Q26" s="673"/>
      <c r="S26" s="673"/>
      <c r="T26" s="673"/>
      <c r="U26" s="673"/>
      <c r="V26" s="673"/>
      <c r="W26" s="99"/>
      <c r="X26" s="99"/>
      <c r="Y26" s="99"/>
      <c r="Z26" s="475">
        <f t="shared" si="2"/>
        <v>0</v>
      </c>
      <c r="AA26" s="673">
        <f t="shared" si="3"/>
        <v>0</v>
      </c>
      <c r="AB26" s="718">
        <f t="shared" si="9"/>
        <v>0</v>
      </c>
      <c r="AC26" s="718">
        <f t="shared" si="4"/>
        <v>0</v>
      </c>
      <c r="AD26" s="475">
        <f t="shared" si="5"/>
        <v>0</v>
      </c>
    </row>
    <row r="27" spans="1:30" x14ac:dyDescent="0.25">
      <c r="A27" s="555" t="s">
        <v>675</v>
      </c>
      <c r="B27" s="556" t="s">
        <v>31</v>
      </c>
      <c r="C27" s="666">
        <v>258903.36</v>
      </c>
      <c r="D27" s="666">
        <f>-7950.24</f>
        <v>-7950.24</v>
      </c>
      <c r="E27" s="666"/>
      <c r="F27" s="666">
        <f>-31800.96</f>
        <v>-31800.959999999999</v>
      </c>
      <c r="G27" s="666">
        <f>-15900.48</f>
        <v>-15900.48</v>
      </c>
      <c r="H27" s="666"/>
      <c r="I27" s="666"/>
      <c r="J27" s="666">
        <f t="shared" si="0"/>
        <v>203251.68</v>
      </c>
      <c r="K27" s="666">
        <f t="shared" si="1"/>
        <v>152438.76</v>
      </c>
      <c r="L27" s="58">
        <f t="shared" si="10"/>
        <v>16937.64</v>
      </c>
      <c r="M27" s="43">
        <f t="shared" si="11"/>
        <v>169376.40000000002</v>
      </c>
      <c r="N27" s="673">
        <v>13125.24</v>
      </c>
      <c r="O27" s="708">
        <v>11067.71</v>
      </c>
      <c r="P27" s="1084">
        <v>13125.24</v>
      </c>
      <c r="Q27" s="673">
        <v>14852.76</v>
      </c>
      <c r="R27" s="708">
        <v>13557.12</v>
      </c>
      <c r="S27" s="708">
        <v>13557.12</v>
      </c>
      <c r="T27" s="708">
        <v>13688.57</v>
      </c>
      <c r="U27" s="1255">
        <v>13692.96</v>
      </c>
      <c r="V27" s="1257">
        <v>13692.96</v>
      </c>
      <c r="W27" s="1289">
        <v>13692.96</v>
      </c>
      <c r="X27" s="99"/>
      <c r="Y27" s="99"/>
      <c r="Z27" s="475">
        <f t="shared" si="2"/>
        <v>120359.67999999996</v>
      </c>
      <c r="AA27" s="673">
        <f t="shared" si="3"/>
        <v>13692.96</v>
      </c>
      <c r="AB27" s="718">
        <f t="shared" si="9"/>
        <v>134052.63999999996</v>
      </c>
      <c r="AC27" s="718">
        <f t="shared" si="4"/>
        <v>35323.760000000068</v>
      </c>
      <c r="AD27" s="475">
        <f t="shared" si="5"/>
        <v>69199.040000000037</v>
      </c>
    </row>
    <row r="28" spans="1:30" x14ac:dyDescent="0.25">
      <c r="A28" s="555" t="s">
        <v>676</v>
      </c>
      <c r="B28" s="556" t="s">
        <v>33</v>
      </c>
      <c r="C28" s="666">
        <v>43150.559999999998</v>
      </c>
      <c r="D28" s="666">
        <f>-1325.04</f>
        <v>-1325.04</v>
      </c>
      <c r="E28" s="666"/>
      <c r="F28" s="666"/>
      <c r="G28" s="666">
        <f>-2650.08</f>
        <v>-2650.08</v>
      </c>
      <c r="H28" s="666"/>
      <c r="I28" s="666"/>
      <c r="J28" s="666">
        <f t="shared" si="0"/>
        <v>39175.439999999995</v>
      </c>
      <c r="K28" s="666">
        <f t="shared" si="1"/>
        <v>29381.579999999994</v>
      </c>
      <c r="L28" s="58">
        <f t="shared" si="10"/>
        <v>3264.6199999999994</v>
      </c>
      <c r="M28" s="43">
        <f t="shared" si="11"/>
        <v>32646.199999999993</v>
      </c>
      <c r="N28" s="673">
        <v>2187.54</v>
      </c>
      <c r="O28" s="708">
        <v>1844.62</v>
      </c>
      <c r="P28" s="1084">
        <v>2187.54</v>
      </c>
      <c r="Q28" s="673">
        <v>2475.46</v>
      </c>
      <c r="R28" s="708">
        <v>2259.52</v>
      </c>
      <c r="S28" s="708">
        <v>2259.52</v>
      </c>
      <c r="T28" s="708">
        <v>2281.4299999999998</v>
      </c>
      <c r="U28" s="1255">
        <v>2282.16</v>
      </c>
      <c r="V28" s="1257">
        <v>2282.16</v>
      </c>
      <c r="W28" s="1289">
        <v>2282.16</v>
      </c>
      <c r="X28" s="99"/>
      <c r="Y28" s="99"/>
      <c r="Z28" s="475">
        <f t="shared" si="2"/>
        <v>20059.95</v>
      </c>
      <c r="AA28" s="673">
        <f t="shared" si="3"/>
        <v>2282.16</v>
      </c>
      <c r="AB28" s="718">
        <f t="shared" si="9"/>
        <v>22342.11</v>
      </c>
      <c r="AC28" s="718">
        <f t="shared" si="4"/>
        <v>10304.089999999993</v>
      </c>
      <c r="AD28" s="475">
        <f t="shared" si="5"/>
        <v>16833.329999999994</v>
      </c>
    </row>
    <row r="29" spans="1:30" x14ac:dyDescent="0.25">
      <c r="A29" s="555" t="s">
        <v>677</v>
      </c>
      <c r="B29" s="556" t="s">
        <v>35</v>
      </c>
      <c r="C29" s="666">
        <v>37701.51</v>
      </c>
      <c r="D29" s="666">
        <f>-1159.41</f>
        <v>-1159.4100000000001</v>
      </c>
      <c r="E29" s="666"/>
      <c r="F29" s="666"/>
      <c r="G29" s="666">
        <f>-2318.82</f>
        <v>-2318.8200000000002</v>
      </c>
      <c r="H29" s="666"/>
      <c r="I29" s="666"/>
      <c r="J29" s="666">
        <f t="shared" si="0"/>
        <v>34223.279999999999</v>
      </c>
      <c r="K29" s="666">
        <f t="shared" si="1"/>
        <v>25667.46</v>
      </c>
      <c r="L29" s="58">
        <f t="shared" si="10"/>
        <v>2851.94</v>
      </c>
      <c r="M29" s="43">
        <f t="shared" si="11"/>
        <v>28519.399999999998</v>
      </c>
      <c r="N29" s="673">
        <v>1519.78</v>
      </c>
      <c r="O29" s="708">
        <v>1383.46</v>
      </c>
      <c r="P29" s="1084">
        <v>151.78</v>
      </c>
      <c r="Q29" s="673">
        <v>1553.73</v>
      </c>
      <c r="R29" s="708">
        <v>1553.73</v>
      </c>
      <c r="S29" s="708">
        <v>1553.73</v>
      </c>
      <c r="T29" s="708">
        <v>1553.73</v>
      </c>
      <c r="U29" s="1255">
        <v>1553.73</v>
      </c>
      <c r="V29" s="1257">
        <v>1553.73</v>
      </c>
      <c r="W29" s="1289">
        <v>1553.73</v>
      </c>
      <c r="X29" s="99"/>
      <c r="Y29" s="99"/>
      <c r="Z29" s="475">
        <f t="shared" si="2"/>
        <v>12377.399999999998</v>
      </c>
      <c r="AA29" s="673">
        <f t="shared" si="3"/>
        <v>1553.73</v>
      </c>
      <c r="AB29" s="718">
        <f t="shared" si="9"/>
        <v>13931.129999999997</v>
      </c>
      <c r="AC29" s="718">
        <f t="shared" si="4"/>
        <v>14588.27</v>
      </c>
      <c r="AD29" s="475">
        <f t="shared" si="5"/>
        <v>20292.150000000001</v>
      </c>
    </row>
    <row r="30" spans="1:30" x14ac:dyDescent="0.25">
      <c r="A30" s="562" t="s">
        <v>678</v>
      </c>
      <c r="B30" s="476"/>
      <c r="C30" s="666">
        <v>7200</v>
      </c>
      <c r="D30" s="666"/>
      <c r="E30" s="666"/>
      <c r="F30" s="666"/>
      <c r="G30" s="666"/>
      <c r="H30" s="666"/>
      <c r="I30" s="666"/>
      <c r="J30" s="666">
        <f t="shared" si="0"/>
        <v>7200</v>
      </c>
      <c r="K30" s="666">
        <f t="shared" si="1"/>
        <v>5400</v>
      </c>
      <c r="L30" s="58">
        <f t="shared" ref="L30" si="12">J30/12</f>
        <v>600</v>
      </c>
      <c r="M30" s="43">
        <f t="shared" ref="M30" si="13">K30+L30</f>
        <v>6000</v>
      </c>
      <c r="N30" s="673">
        <v>400</v>
      </c>
      <c r="O30" s="708">
        <v>400</v>
      </c>
      <c r="P30" s="1084">
        <v>400</v>
      </c>
      <c r="Q30" s="673">
        <v>400</v>
      </c>
      <c r="R30" s="708">
        <v>400</v>
      </c>
      <c r="S30" s="708">
        <v>400</v>
      </c>
      <c r="T30" s="708">
        <v>400</v>
      </c>
      <c r="U30" s="1255">
        <v>400</v>
      </c>
      <c r="V30" s="1257">
        <v>400</v>
      </c>
      <c r="W30" s="1289">
        <v>400</v>
      </c>
      <c r="X30" s="99"/>
      <c r="Y30" s="99"/>
      <c r="Z30" s="475">
        <f t="shared" si="2"/>
        <v>3600</v>
      </c>
      <c r="AA30" s="673">
        <f t="shared" si="3"/>
        <v>400</v>
      </c>
      <c r="AB30" s="718">
        <f t="shared" si="9"/>
        <v>4000</v>
      </c>
      <c r="AC30" s="718">
        <f t="shared" si="4"/>
        <v>2000</v>
      </c>
      <c r="AD30" s="475">
        <f t="shared" si="5"/>
        <v>3200</v>
      </c>
    </row>
    <row r="31" spans="1:30" x14ac:dyDescent="0.25">
      <c r="A31" s="45"/>
      <c r="B31" s="476"/>
      <c r="C31" s="43"/>
      <c r="D31" s="718"/>
      <c r="E31" s="718"/>
      <c r="F31" s="718"/>
      <c r="G31" s="718"/>
      <c r="H31" s="718"/>
      <c r="I31" s="718"/>
      <c r="J31" s="666">
        <f t="shared" si="0"/>
        <v>0</v>
      </c>
      <c r="K31" s="666">
        <f t="shared" si="1"/>
        <v>0</v>
      </c>
      <c r="L31" s="58"/>
      <c r="M31" s="43"/>
      <c r="N31" s="673"/>
      <c r="O31" s="673"/>
      <c r="P31" s="673"/>
      <c r="Q31" s="673"/>
      <c r="R31" s="673"/>
      <c r="S31" s="673"/>
      <c r="T31" s="673"/>
      <c r="U31" s="673"/>
      <c r="V31" s="673"/>
      <c r="W31" s="99"/>
      <c r="X31" s="99"/>
      <c r="Y31" s="99"/>
      <c r="Z31" s="475">
        <f t="shared" si="2"/>
        <v>0</v>
      </c>
      <c r="AA31" s="673">
        <f t="shared" si="3"/>
        <v>0</v>
      </c>
      <c r="AB31" s="718">
        <f t="shared" si="9"/>
        <v>0</v>
      </c>
      <c r="AC31" s="718">
        <f t="shared" si="4"/>
        <v>0</v>
      </c>
      <c r="AD31" s="475">
        <f t="shared" si="5"/>
        <v>0</v>
      </c>
    </row>
    <row r="32" spans="1:30" x14ac:dyDescent="0.25">
      <c r="A32" s="472" t="s">
        <v>40</v>
      </c>
      <c r="B32" s="563"/>
      <c r="C32" s="211">
        <f>SUM(C8:C31)</f>
        <v>3374071.4299999997</v>
      </c>
      <c r="D32" s="211">
        <f>SUM(D8:D31)</f>
        <v>-88686.69</v>
      </c>
      <c r="E32" s="211">
        <f>SUM(E8:E31)</f>
        <v>0</v>
      </c>
      <c r="F32" s="211">
        <f t="shared" ref="F32:G32" si="14">SUM(F8:F31)</f>
        <v>-312808.96000000002</v>
      </c>
      <c r="G32" s="211">
        <f t="shared" si="14"/>
        <v>-177373.38</v>
      </c>
      <c r="H32" s="211">
        <f>SUM(H8:H31)</f>
        <v>0</v>
      </c>
      <c r="I32" s="211">
        <f>SUM(I8:I31)</f>
        <v>0</v>
      </c>
      <c r="J32" s="211">
        <f>SUM(J8:J31)</f>
        <v>2795202.4</v>
      </c>
      <c r="K32" s="211">
        <f t="shared" ref="K32:AD32" si="15">SUM(K8:K31)</f>
        <v>2102401.7999999998</v>
      </c>
      <c r="L32" s="211">
        <f t="shared" si="15"/>
        <v>232933.53333333333</v>
      </c>
      <c r="M32" s="211">
        <f t="shared" si="15"/>
        <v>2335335.3333333335</v>
      </c>
      <c r="N32" s="373">
        <f>SUM(N8:N31)</f>
        <v>162609.56</v>
      </c>
      <c r="O32" s="373">
        <f t="shared" si="15"/>
        <v>144072.78999999998</v>
      </c>
      <c r="P32" s="373">
        <f t="shared" si="15"/>
        <v>145241.56</v>
      </c>
      <c r="Q32" s="373">
        <f t="shared" si="15"/>
        <v>163054.95000000001</v>
      </c>
      <c r="R32" s="373">
        <f t="shared" si="15"/>
        <v>263722.37</v>
      </c>
      <c r="S32" s="373">
        <f t="shared" si="15"/>
        <v>150746.37</v>
      </c>
      <c r="T32" s="373">
        <f t="shared" si="15"/>
        <v>151995.15</v>
      </c>
      <c r="U32" s="373">
        <f t="shared" si="15"/>
        <v>152036.85</v>
      </c>
      <c r="V32" s="373">
        <f t="shared" si="15"/>
        <v>152036.85</v>
      </c>
      <c r="W32" s="211">
        <f t="shared" si="15"/>
        <v>155336.85</v>
      </c>
      <c r="X32" s="211">
        <f t="shared" si="15"/>
        <v>0</v>
      </c>
      <c r="Y32" s="211">
        <f t="shared" si="15"/>
        <v>0</v>
      </c>
      <c r="Z32" s="211">
        <f t="shared" si="15"/>
        <v>1485516.4499999997</v>
      </c>
      <c r="AA32" s="211">
        <f t="shared" si="15"/>
        <v>155336.85</v>
      </c>
      <c r="AB32" s="211">
        <f t="shared" si="15"/>
        <v>1640853.2999999998</v>
      </c>
      <c r="AC32" s="211">
        <f t="shared" si="15"/>
        <v>694482.03333333356</v>
      </c>
      <c r="AD32" s="211">
        <f t="shared" si="15"/>
        <v>1154349.1000000001</v>
      </c>
    </row>
    <row r="33" spans="1:30" x14ac:dyDescent="0.25">
      <c r="A33" s="472" t="s">
        <v>176</v>
      </c>
      <c r="B33" s="485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3"/>
      <c r="N33" s="673"/>
      <c r="O33" s="673"/>
      <c r="P33" s="673"/>
      <c r="Q33" s="673"/>
      <c r="R33" s="673"/>
      <c r="S33" s="673"/>
      <c r="T33" s="673"/>
      <c r="U33" s="673"/>
      <c r="V33" s="673"/>
      <c r="W33" s="99"/>
      <c r="X33" s="99"/>
      <c r="Y33" s="99"/>
      <c r="Z33" s="99"/>
      <c r="AA33" s="99"/>
      <c r="AB33" s="99"/>
      <c r="AC33" s="43"/>
      <c r="AD33" s="99"/>
    </row>
    <row r="34" spans="1:30" x14ac:dyDescent="0.25">
      <c r="A34" s="564" t="s">
        <v>620</v>
      </c>
      <c r="B34" s="168"/>
      <c r="C34" s="43"/>
      <c r="D34" s="718"/>
      <c r="E34" s="718"/>
      <c r="F34" s="718"/>
      <c r="G34" s="718"/>
      <c r="H34" s="718"/>
      <c r="I34" s="718"/>
      <c r="J34" s="666">
        <f t="shared" ref="J34:J56" si="16">SUM(C34:I34)</f>
        <v>0</v>
      </c>
      <c r="K34" s="217"/>
      <c r="L34" s="58">
        <f t="shared" ref="L34:L55" si="17">J34/12</f>
        <v>0</v>
      </c>
      <c r="M34" s="43">
        <f>SUM(B34:L34)</f>
        <v>0</v>
      </c>
      <c r="N34" s="673"/>
      <c r="O34" s="164"/>
      <c r="P34" s="673"/>
      <c r="Q34" s="673"/>
      <c r="R34" s="673"/>
      <c r="S34" s="673"/>
      <c r="T34" s="673"/>
      <c r="U34" s="673"/>
      <c r="V34" s="673"/>
      <c r="W34" s="99"/>
      <c r="X34" s="99"/>
      <c r="Y34" s="99"/>
      <c r="Z34" s="475">
        <f t="shared" ref="Z34" si="18">N34+O34+P34+Q34+R34+S34+T34+U34</f>
        <v>0</v>
      </c>
      <c r="AA34" s="673">
        <f t="shared" ref="AA34" si="19">V34</f>
        <v>0</v>
      </c>
      <c r="AB34" s="43">
        <f t="shared" ref="AB34:AB48" si="20">Z34+AA34</f>
        <v>0</v>
      </c>
      <c r="AC34" s="718">
        <f t="shared" ref="AC34:AC56" si="21">M34-AB34</f>
        <v>0</v>
      </c>
      <c r="AD34" s="475">
        <f t="shared" ref="AD34:AD56" si="22">J34-AB34</f>
        <v>0</v>
      </c>
    </row>
    <row r="35" spans="1:30" x14ac:dyDescent="0.25">
      <c r="A35" s="507" t="s">
        <v>139</v>
      </c>
      <c r="B35" s="168" t="s">
        <v>43</v>
      </c>
      <c r="C35" s="43">
        <f>75000-10000</f>
        <v>65000</v>
      </c>
      <c r="D35" s="718"/>
      <c r="E35" s="718"/>
      <c r="F35" s="718"/>
      <c r="G35" s="718"/>
      <c r="H35" s="718"/>
      <c r="I35" s="718"/>
      <c r="J35" s="666">
        <f t="shared" si="16"/>
        <v>65000</v>
      </c>
      <c r="K35" s="666">
        <f t="shared" ref="K35:K56" si="23">J35/12*9</f>
        <v>48750</v>
      </c>
      <c r="L35" s="58">
        <f t="shared" si="17"/>
        <v>5416.666666666667</v>
      </c>
      <c r="M35" s="43">
        <f t="shared" ref="M35:M55" si="24">K35+L35</f>
        <v>54166.666666666664</v>
      </c>
      <c r="O35" s="164">
        <v>6820</v>
      </c>
      <c r="P35" s="164">
        <v>3840</v>
      </c>
      <c r="Q35" s="673"/>
      <c r="R35" s="673">
        <v>1280</v>
      </c>
      <c r="S35" s="673">
        <v>1280</v>
      </c>
      <c r="T35" s="673">
        <v>2560</v>
      </c>
      <c r="U35" s="673">
        <v>7164</v>
      </c>
      <c r="V35" s="673">
        <v>6360</v>
      </c>
      <c r="W35" s="99">
        <v>1280</v>
      </c>
      <c r="X35" s="99"/>
      <c r="Y35" s="99"/>
      <c r="Z35" s="475">
        <f t="shared" ref="Z35:Z56" si="25">N35+O35+P35+Q35+R35+S35+T35+U35+V35</f>
        <v>29304</v>
      </c>
      <c r="AA35" s="673">
        <f t="shared" ref="AA35:AA56" si="26">W35</f>
        <v>1280</v>
      </c>
      <c r="AB35" s="43">
        <f t="shared" si="20"/>
        <v>30584</v>
      </c>
      <c r="AC35" s="718">
        <f t="shared" si="21"/>
        <v>23582.666666666664</v>
      </c>
      <c r="AD35" s="475">
        <f t="shared" si="22"/>
        <v>34416</v>
      </c>
    </row>
    <row r="36" spans="1:30" x14ac:dyDescent="0.25">
      <c r="A36" s="507" t="s">
        <v>44</v>
      </c>
      <c r="B36" s="168" t="s">
        <v>140</v>
      </c>
      <c r="C36" s="43">
        <f>69600-37700</f>
        <v>31900</v>
      </c>
      <c r="D36" s="718"/>
      <c r="E36" s="718">
        <v>5060</v>
      </c>
      <c r="F36" s="718"/>
      <c r="G36" s="718"/>
      <c r="H36" s="718"/>
      <c r="I36" s="718"/>
      <c r="J36" s="666">
        <f t="shared" si="16"/>
        <v>36960</v>
      </c>
      <c r="K36" s="666">
        <f t="shared" si="23"/>
        <v>27720</v>
      </c>
      <c r="L36" s="58">
        <f t="shared" si="17"/>
        <v>3080</v>
      </c>
      <c r="M36" s="43">
        <f t="shared" si="24"/>
        <v>30800</v>
      </c>
      <c r="N36" s="673"/>
      <c r="O36" s="164">
        <v>11200</v>
      </c>
      <c r="P36" s="164"/>
      <c r="Q36" s="673"/>
      <c r="R36" s="673"/>
      <c r="S36" s="673"/>
      <c r="T36" s="673"/>
      <c r="U36" s="1251">
        <f>2210+5060</f>
        <v>7270</v>
      </c>
      <c r="V36" s="673">
        <v>6594.5</v>
      </c>
      <c r="W36" s="99">
        <f>1500+500</f>
        <v>2000</v>
      </c>
      <c r="X36" s="99"/>
      <c r="Y36" s="99"/>
      <c r="Z36" s="475">
        <f t="shared" si="25"/>
        <v>25064.5</v>
      </c>
      <c r="AA36" s="673">
        <f t="shared" si="26"/>
        <v>2000</v>
      </c>
      <c r="AB36" s="43">
        <f t="shared" si="20"/>
        <v>27064.5</v>
      </c>
      <c r="AC36" s="718">
        <f t="shared" si="21"/>
        <v>3735.5</v>
      </c>
      <c r="AD36" s="475">
        <f t="shared" si="22"/>
        <v>9895.5</v>
      </c>
    </row>
    <row r="37" spans="1:30" x14ac:dyDescent="0.25">
      <c r="A37" s="507" t="s">
        <v>50</v>
      </c>
      <c r="B37" s="168" t="s">
        <v>51</v>
      </c>
      <c r="C37" s="43">
        <v>61400</v>
      </c>
      <c r="D37" s="718"/>
      <c r="E37" s="718"/>
      <c r="F37" s="718"/>
      <c r="G37" s="718"/>
      <c r="H37" s="718"/>
      <c r="I37" s="718"/>
      <c r="J37" s="666">
        <f t="shared" si="16"/>
        <v>61400</v>
      </c>
      <c r="K37" s="666">
        <f t="shared" si="23"/>
        <v>46050</v>
      </c>
      <c r="L37" s="58">
        <f t="shared" si="17"/>
        <v>5116.666666666667</v>
      </c>
      <c r="M37" s="43">
        <f t="shared" si="24"/>
        <v>51166.666666666664</v>
      </c>
      <c r="N37" s="373"/>
      <c r="O37" s="666">
        <v>4252</v>
      </c>
      <c r="P37" s="666">
        <v>12509</v>
      </c>
      <c r="Q37" s="373"/>
      <c r="R37" s="373"/>
      <c r="S37" s="373">
        <v>10180</v>
      </c>
      <c r="T37" s="373"/>
      <c r="U37" s="373">
        <v>3995.5</v>
      </c>
      <c r="V37" s="373">
        <v>6112</v>
      </c>
      <c r="W37" s="482"/>
      <c r="X37" s="482"/>
      <c r="Y37" s="482"/>
      <c r="Z37" s="475">
        <f t="shared" si="25"/>
        <v>37048.5</v>
      </c>
      <c r="AA37" s="673">
        <f t="shared" si="26"/>
        <v>0</v>
      </c>
      <c r="AB37" s="43">
        <f t="shared" si="20"/>
        <v>37048.5</v>
      </c>
      <c r="AC37" s="718">
        <f t="shared" si="21"/>
        <v>14118.166666666664</v>
      </c>
      <c r="AD37" s="475">
        <f t="shared" si="22"/>
        <v>24351.5</v>
      </c>
    </row>
    <row r="38" spans="1:30" x14ac:dyDescent="0.25">
      <c r="A38" s="391" t="s">
        <v>683</v>
      </c>
      <c r="B38" s="168" t="s">
        <v>56</v>
      </c>
      <c r="C38" s="43">
        <v>7000</v>
      </c>
      <c r="D38" s="718"/>
      <c r="E38" s="718"/>
      <c r="F38" s="718"/>
      <c r="G38" s="718"/>
      <c r="H38" s="718"/>
      <c r="I38" s="718"/>
      <c r="J38" s="666">
        <f t="shared" si="16"/>
        <v>7000</v>
      </c>
      <c r="K38" s="666">
        <f t="shared" si="23"/>
        <v>5250</v>
      </c>
      <c r="L38" s="58">
        <f t="shared" si="17"/>
        <v>583.33333333333337</v>
      </c>
      <c r="M38" s="43">
        <f t="shared" si="24"/>
        <v>5833.333333333333</v>
      </c>
      <c r="N38" s="673"/>
      <c r="O38" s="164"/>
      <c r="P38" s="164">
        <v>547.34</v>
      </c>
      <c r="Q38" s="673"/>
      <c r="R38" s="673">
        <v>2102.37</v>
      </c>
      <c r="S38" s="673"/>
      <c r="T38" s="673"/>
      <c r="U38" s="673">
        <v>1366.96</v>
      </c>
      <c r="V38" s="673">
        <v>607.66</v>
      </c>
      <c r="W38" s="99"/>
      <c r="X38" s="99"/>
      <c r="Y38" s="99"/>
      <c r="Z38" s="475">
        <f t="shared" si="25"/>
        <v>4624.33</v>
      </c>
      <c r="AA38" s="673">
        <f t="shared" si="26"/>
        <v>0</v>
      </c>
      <c r="AB38" s="43">
        <f t="shared" si="20"/>
        <v>4624.33</v>
      </c>
      <c r="AC38" s="718">
        <f t="shared" si="21"/>
        <v>1209.0033333333331</v>
      </c>
      <c r="AD38" s="475">
        <f t="shared" si="22"/>
        <v>2375.67</v>
      </c>
    </row>
    <row r="39" spans="1:30" x14ac:dyDescent="0.25">
      <c r="A39" s="507" t="s">
        <v>481</v>
      </c>
      <c r="B39" s="168" t="s">
        <v>60</v>
      </c>
      <c r="C39" s="43">
        <v>72000</v>
      </c>
      <c r="D39" s="718"/>
      <c r="E39" s="718"/>
      <c r="F39" s="718"/>
      <c r="G39" s="718"/>
      <c r="H39" s="718"/>
      <c r="I39" s="718"/>
      <c r="J39" s="666">
        <f t="shared" si="16"/>
        <v>72000</v>
      </c>
      <c r="K39" s="666">
        <f t="shared" si="23"/>
        <v>54000</v>
      </c>
      <c r="L39" s="58">
        <f t="shared" si="17"/>
        <v>6000</v>
      </c>
      <c r="M39" s="43">
        <f t="shared" si="24"/>
        <v>60000</v>
      </c>
      <c r="N39" s="673">
        <v>2709</v>
      </c>
      <c r="O39" s="164">
        <v>3922.26</v>
      </c>
      <c r="P39" s="164">
        <v>3847.01</v>
      </c>
      <c r="Q39" s="673">
        <f>2674.88+1222.98</f>
        <v>3897.86</v>
      </c>
      <c r="R39" s="673">
        <v>9154.74</v>
      </c>
      <c r="S39" s="673"/>
      <c r="T39" s="673">
        <v>9658.8799999999992</v>
      </c>
      <c r="U39" s="673">
        <f>2793.98+1131.98</f>
        <v>3925.96</v>
      </c>
      <c r="V39" s="673">
        <v>4759.3900000000003</v>
      </c>
      <c r="W39" s="99">
        <f>9186.57-2779.56</f>
        <v>6407.01</v>
      </c>
      <c r="X39" s="99"/>
      <c r="Y39" s="99"/>
      <c r="Z39" s="475">
        <f t="shared" si="25"/>
        <v>41875.1</v>
      </c>
      <c r="AA39" s="673">
        <f t="shared" si="26"/>
        <v>6407.01</v>
      </c>
      <c r="AB39" s="43">
        <f t="shared" si="20"/>
        <v>48282.11</v>
      </c>
      <c r="AC39" s="718">
        <f t="shared" si="21"/>
        <v>11717.89</v>
      </c>
      <c r="AD39" s="475">
        <f t="shared" si="22"/>
        <v>23717.89</v>
      </c>
    </row>
    <row r="40" spans="1:30" x14ac:dyDescent="0.25">
      <c r="A40" s="507" t="s">
        <v>251</v>
      </c>
      <c r="B40" s="168" t="s">
        <v>62</v>
      </c>
      <c r="C40" s="43">
        <f>18000+3600</f>
        <v>21600</v>
      </c>
      <c r="D40" s="718"/>
      <c r="E40" s="718"/>
      <c r="F40" s="718"/>
      <c r="G40" s="718"/>
      <c r="H40" s="718"/>
      <c r="I40" s="718"/>
      <c r="J40" s="666">
        <f t="shared" si="16"/>
        <v>21600</v>
      </c>
      <c r="K40" s="666">
        <f t="shared" si="23"/>
        <v>16200</v>
      </c>
      <c r="L40" s="58">
        <f t="shared" si="17"/>
        <v>1800</v>
      </c>
      <c r="M40" s="43">
        <f t="shared" si="24"/>
        <v>18000</v>
      </c>
      <c r="N40" s="673">
        <v>1398</v>
      </c>
      <c r="O40" s="164"/>
      <c r="P40" s="164">
        <v>1377.65</v>
      </c>
      <c r="Q40" s="673">
        <v>1373.65</v>
      </c>
      <c r="R40" s="673">
        <v>2646</v>
      </c>
      <c r="S40" s="673"/>
      <c r="T40" s="673">
        <v>1395.79</v>
      </c>
      <c r="U40" s="673">
        <v>1398</v>
      </c>
      <c r="V40" s="673">
        <v>1398</v>
      </c>
      <c r="W40" s="99">
        <v>1398</v>
      </c>
      <c r="X40" s="99"/>
      <c r="Y40" s="99"/>
      <c r="Z40" s="475">
        <f t="shared" si="25"/>
        <v>10987.09</v>
      </c>
      <c r="AA40" s="673">
        <f t="shared" si="26"/>
        <v>1398</v>
      </c>
      <c r="AB40" s="43">
        <f t="shared" si="20"/>
        <v>12385.09</v>
      </c>
      <c r="AC40" s="718">
        <f t="shared" si="21"/>
        <v>5614.91</v>
      </c>
      <c r="AD40" s="475">
        <f t="shared" si="22"/>
        <v>9214.91</v>
      </c>
    </row>
    <row r="41" spans="1:30" x14ac:dyDescent="0.25">
      <c r="A41" s="507" t="s">
        <v>69</v>
      </c>
      <c r="B41" s="168" t="s">
        <v>70</v>
      </c>
      <c r="C41" s="43">
        <f>285600+24600</f>
        <v>310200</v>
      </c>
      <c r="D41" s="718"/>
      <c r="E41" s="718"/>
      <c r="F41" s="718"/>
      <c r="G41" s="718"/>
      <c r="H41" s="718"/>
      <c r="I41" s="718"/>
      <c r="J41" s="666">
        <f t="shared" si="16"/>
        <v>310200</v>
      </c>
      <c r="K41" s="666">
        <f t="shared" si="23"/>
        <v>232650</v>
      </c>
      <c r="L41" s="58">
        <f t="shared" si="17"/>
        <v>25850</v>
      </c>
      <c r="M41" s="43">
        <f t="shared" si="24"/>
        <v>258500</v>
      </c>
      <c r="N41" s="673">
        <v>15126.53</v>
      </c>
      <c r="O41" s="164">
        <v>23850.2</v>
      </c>
      <c r="P41" s="164">
        <v>22579.37</v>
      </c>
      <c r="Q41" s="673">
        <v>25010.83</v>
      </c>
      <c r="R41" s="673">
        <v>24700</v>
      </c>
      <c r="S41" s="673">
        <v>28120</v>
      </c>
      <c r="T41" s="673">
        <v>18207.82</v>
      </c>
      <c r="U41" s="673">
        <v>23006.33</v>
      </c>
      <c r="V41" s="673">
        <v>24589.05</v>
      </c>
      <c r="W41" s="673">
        <v>24233.47</v>
      </c>
      <c r="X41" s="99"/>
      <c r="Y41" s="99"/>
      <c r="Z41" s="475">
        <f>N41+O41+P41+Q41+R41+S41+T41+U41+V41</f>
        <v>205190.13</v>
      </c>
      <c r="AA41" s="673">
        <f t="shared" si="26"/>
        <v>24233.47</v>
      </c>
      <c r="AB41" s="43">
        <f t="shared" si="20"/>
        <v>229423.6</v>
      </c>
      <c r="AC41" s="718">
        <f t="shared" si="21"/>
        <v>29076.399999999994</v>
      </c>
      <c r="AD41" s="475">
        <f t="shared" si="22"/>
        <v>80776.399999999994</v>
      </c>
    </row>
    <row r="42" spans="1:30" x14ac:dyDescent="0.25">
      <c r="A42" s="273" t="s">
        <v>747</v>
      </c>
      <c r="B42" s="168" t="s">
        <v>76</v>
      </c>
      <c r="C42" s="43"/>
      <c r="D42" s="718"/>
      <c r="E42" s="718"/>
      <c r="F42" s="718"/>
      <c r="G42" s="718"/>
      <c r="H42" s="718"/>
      <c r="I42" s="718"/>
      <c r="J42" s="666">
        <f t="shared" si="16"/>
        <v>0</v>
      </c>
      <c r="K42" s="666">
        <f t="shared" si="23"/>
        <v>0</v>
      </c>
      <c r="L42" s="58">
        <f t="shared" si="17"/>
        <v>0</v>
      </c>
      <c r="M42" s="43">
        <f t="shared" si="24"/>
        <v>0</v>
      </c>
      <c r="N42" s="673"/>
      <c r="O42" s="164"/>
      <c r="P42" s="164"/>
      <c r="Q42" s="673"/>
      <c r="R42" s="673"/>
      <c r="S42" s="673"/>
      <c r="T42" s="673"/>
      <c r="U42" s="673"/>
      <c r="V42" s="673"/>
      <c r="W42" s="99"/>
      <c r="X42" s="99"/>
      <c r="Y42" s="99"/>
      <c r="Z42" s="475">
        <f t="shared" si="25"/>
        <v>0</v>
      </c>
      <c r="AA42" s="673">
        <f t="shared" si="26"/>
        <v>0</v>
      </c>
      <c r="AB42" s="43">
        <f t="shared" si="20"/>
        <v>0</v>
      </c>
      <c r="AC42" s="718">
        <f t="shared" si="21"/>
        <v>0</v>
      </c>
      <c r="AD42" s="475">
        <f t="shared" si="22"/>
        <v>0</v>
      </c>
    </row>
    <row r="43" spans="1:30" x14ac:dyDescent="0.25">
      <c r="A43" s="383" t="s">
        <v>110</v>
      </c>
      <c r="B43" s="168"/>
      <c r="C43" s="43">
        <v>3000</v>
      </c>
      <c r="D43" s="718"/>
      <c r="E43" s="718"/>
      <c r="F43" s="718"/>
      <c r="G43" s="718"/>
      <c r="H43" s="718"/>
      <c r="I43" s="718"/>
      <c r="J43" s="666">
        <f t="shared" si="16"/>
        <v>3000</v>
      </c>
      <c r="K43" s="666">
        <f t="shared" si="23"/>
        <v>2250</v>
      </c>
      <c r="L43" s="58">
        <f t="shared" si="17"/>
        <v>250</v>
      </c>
      <c r="M43" s="43">
        <f t="shared" si="24"/>
        <v>2500</v>
      </c>
      <c r="N43" s="673"/>
      <c r="O43" s="673"/>
      <c r="P43" s="164"/>
      <c r="Q43" s="673"/>
      <c r="R43" s="673"/>
      <c r="S43" s="673"/>
      <c r="T43" s="673"/>
      <c r="U43" s="673"/>
      <c r="V43" s="673"/>
      <c r="W43" s="99"/>
      <c r="X43" s="99"/>
      <c r="Y43" s="99"/>
      <c r="Z43" s="475">
        <f t="shared" si="25"/>
        <v>0</v>
      </c>
      <c r="AA43" s="673">
        <f t="shared" si="26"/>
        <v>0</v>
      </c>
      <c r="AB43" s="43">
        <f t="shared" si="20"/>
        <v>0</v>
      </c>
      <c r="AC43" s="718">
        <f t="shared" si="21"/>
        <v>2500</v>
      </c>
      <c r="AD43" s="475">
        <f t="shared" si="22"/>
        <v>3000</v>
      </c>
    </row>
    <row r="44" spans="1:30" x14ac:dyDescent="0.25">
      <c r="A44" s="383" t="s">
        <v>390</v>
      </c>
      <c r="B44" s="168"/>
      <c r="C44" s="43">
        <v>3000</v>
      </c>
      <c r="D44" s="718"/>
      <c r="E44" s="718"/>
      <c r="F44" s="718"/>
      <c r="G44" s="718"/>
      <c r="H44" s="718"/>
      <c r="I44" s="718"/>
      <c r="J44" s="666">
        <f t="shared" si="16"/>
        <v>3000</v>
      </c>
      <c r="K44" s="666">
        <f t="shared" si="23"/>
        <v>2250</v>
      </c>
      <c r="L44" s="58">
        <f t="shared" si="17"/>
        <v>250</v>
      </c>
      <c r="M44" s="43">
        <f t="shared" si="24"/>
        <v>2500</v>
      </c>
      <c r="N44" s="373"/>
      <c r="O44" s="373"/>
      <c r="P44" s="666"/>
      <c r="Q44" s="373"/>
      <c r="R44" s="373"/>
      <c r="S44" s="373"/>
      <c r="T44" s="373"/>
      <c r="U44" s="373"/>
      <c r="V44" s="373"/>
      <c r="W44" s="211"/>
      <c r="X44" s="211"/>
      <c r="Y44" s="211"/>
      <c r="Z44" s="475">
        <f t="shared" si="25"/>
        <v>0</v>
      </c>
      <c r="AA44" s="673">
        <f t="shared" si="26"/>
        <v>0</v>
      </c>
      <c r="AB44" s="43">
        <f t="shared" si="20"/>
        <v>0</v>
      </c>
      <c r="AC44" s="718">
        <f t="shared" si="21"/>
        <v>2500</v>
      </c>
      <c r="AD44" s="475">
        <f t="shared" si="22"/>
        <v>3000</v>
      </c>
    </row>
    <row r="45" spans="1:30" x14ac:dyDescent="0.25">
      <c r="A45" s="391" t="s">
        <v>748</v>
      </c>
      <c r="B45" s="168" t="s">
        <v>79</v>
      </c>
      <c r="C45" s="43"/>
      <c r="D45" s="718"/>
      <c r="E45" s="718"/>
      <c r="F45" s="718"/>
      <c r="G45" s="718"/>
      <c r="H45" s="718"/>
      <c r="I45" s="718"/>
      <c r="J45" s="666">
        <f t="shared" si="16"/>
        <v>0</v>
      </c>
      <c r="K45" s="666">
        <f t="shared" si="23"/>
        <v>0</v>
      </c>
      <c r="L45" s="58">
        <f t="shared" si="17"/>
        <v>0</v>
      </c>
      <c r="M45" s="43">
        <f t="shared" si="24"/>
        <v>0</v>
      </c>
      <c r="N45" s="373"/>
      <c r="O45" s="373"/>
      <c r="P45" s="666"/>
      <c r="Q45" s="373"/>
      <c r="R45" s="373"/>
      <c r="S45" s="373"/>
      <c r="T45" s="373"/>
      <c r="U45" s="373"/>
      <c r="V45" s="373"/>
      <c r="W45" s="211"/>
      <c r="X45" s="211"/>
      <c r="Y45" s="211"/>
      <c r="Z45" s="475">
        <f t="shared" si="25"/>
        <v>0</v>
      </c>
      <c r="AA45" s="673">
        <f t="shared" si="26"/>
        <v>0</v>
      </c>
      <c r="AB45" s="43">
        <f t="shared" si="20"/>
        <v>0</v>
      </c>
      <c r="AC45" s="718">
        <f t="shared" si="21"/>
        <v>0</v>
      </c>
      <c r="AD45" s="475">
        <f t="shared" si="22"/>
        <v>0</v>
      </c>
    </row>
    <row r="46" spans="1:30" x14ac:dyDescent="0.25">
      <c r="A46" s="566" t="s">
        <v>737</v>
      </c>
      <c r="B46" s="168"/>
      <c r="C46" s="43">
        <v>2000</v>
      </c>
      <c r="D46" s="718"/>
      <c r="E46" s="718"/>
      <c r="F46" s="718"/>
      <c r="G46" s="718"/>
      <c r="H46" s="718"/>
      <c r="I46" s="718"/>
      <c r="J46" s="666">
        <f t="shared" si="16"/>
        <v>2000</v>
      </c>
      <c r="K46" s="666">
        <f t="shared" si="23"/>
        <v>1500</v>
      </c>
      <c r="L46" s="58">
        <f t="shared" si="17"/>
        <v>166.66666666666666</v>
      </c>
      <c r="M46" s="43">
        <f t="shared" si="24"/>
        <v>1666.6666666666667</v>
      </c>
      <c r="N46" s="725"/>
      <c r="O46" s="725"/>
      <c r="P46" s="718">
        <v>200</v>
      </c>
      <c r="Q46" s="725"/>
      <c r="R46" s="725"/>
      <c r="S46" s="725"/>
      <c r="T46" s="725"/>
      <c r="U46" s="725"/>
      <c r="V46" s="725"/>
      <c r="W46" s="77"/>
      <c r="X46" s="77"/>
      <c r="Y46" s="77"/>
      <c r="Z46" s="475">
        <f t="shared" si="25"/>
        <v>200</v>
      </c>
      <c r="AA46" s="673">
        <f t="shared" si="26"/>
        <v>0</v>
      </c>
      <c r="AB46" s="43">
        <f t="shared" si="20"/>
        <v>200</v>
      </c>
      <c r="AC46" s="718">
        <f t="shared" si="21"/>
        <v>1466.6666666666667</v>
      </c>
      <c r="AD46" s="475">
        <f t="shared" si="22"/>
        <v>1800</v>
      </c>
    </row>
    <row r="47" spans="1:30" x14ac:dyDescent="0.25">
      <c r="A47" s="391" t="s">
        <v>1375</v>
      </c>
      <c r="B47" s="168"/>
      <c r="C47" s="718"/>
      <c r="D47" s="718">
        <v>28000</v>
      </c>
      <c r="E47" s="718"/>
      <c r="F47" s="718"/>
      <c r="G47" s="718"/>
      <c r="H47" s="718"/>
      <c r="I47" s="718"/>
      <c r="J47" s="666">
        <f t="shared" si="16"/>
        <v>28000</v>
      </c>
      <c r="K47" s="666">
        <f t="shared" si="23"/>
        <v>21000</v>
      </c>
      <c r="L47" s="666"/>
      <c r="M47" s="718"/>
      <c r="N47" s="725"/>
      <c r="O47" s="725"/>
      <c r="P47" s="718"/>
      <c r="Q47" s="725"/>
      <c r="R47" s="725"/>
      <c r="S47" s="725"/>
      <c r="T47" s="725"/>
      <c r="U47" s="725"/>
      <c r="V47" s="725"/>
      <c r="W47" s="725"/>
      <c r="X47" s="725"/>
      <c r="Y47" s="725"/>
      <c r="Z47" s="475">
        <f t="shared" si="25"/>
        <v>0</v>
      </c>
      <c r="AA47" s="673">
        <f t="shared" si="26"/>
        <v>0</v>
      </c>
      <c r="AB47" s="718"/>
      <c r="AC47" s="718"/>
      <c r="AD47" s="475"/>
    </row>
    <row r="48" spans="1:30" x14ac:dyDescent="0.25">
      <c r="A48" s="391" t="s">
        <v>740</v>
      </c>
      <c r="B48" s="168" t="s">
        <v>81</v>
      </c>
      <c r="C48" s="43">
        <v>1500</v>
      </c>
      <c r="D48" s="718">
        <v>368000</v>
      </c>
      <c r="E48" s="718"/>
      <c r="F48" s="718"/>
      <c r="G48" s="718"/>
      <c r="H48" s="718"/>
      <c r="I48" s="718"/>
      <c r="J48" s="666">
        <f t="shared" si="16"/>
        <v>369500</v>
      </c>
      <c r="K48" s="666">
        <f t="shared" si="23"/>
        <v>277125</v>
      </c>
      <c r="L48" s="58">
        <f t="shared" si="17"/>
        <v>30791.666666666668</v>
      </c>
      <c r="M48" s="43">
        <f t="shared" si="24"/>
        <v>307916.66666666669</v>
      </c>
      <c r="N48" s="673"/>
      <c r="O48" s="673"/>
      <c r="P48" s="1088"/>
      <c r="Q48" s="673"/>
      <c r="R48" s="673"/>
      <c r="S48" s="673"/>
      <c r="T48" s="673">
        <v>161.4</v>
      </c>
      <c r="U48" s="673"/>
      <c r="V48" s="673"/>
      <c r="W48" s="99"/>
      <c r="X48" s="99"/>
      <c r="Y48" s="99"/>
      <c r="Z48" s="475">
        <f t="shared" si="25"/>
        <v>161.4</v>
      </c>
      <c r="AA48" s="673">
        <f t="shared" si="26"/>
        <v>0</v>
      </c>
      <c r="AB48" s="43">
        <f t="shared" si="20"/>
        <v>161.4</v>
      </c>
      <c r="AC48" s="718">
        <f t="shared" si="21"/>
        <v>307755.26666666666</v>
      </c>
      <c r="AD48" s="475">
        <f t="shared" si="22"/>
        <v>369338.6</v>
      </c>
    </row>
    <row r="49" spans="1:30" x14ac:dyDescent="0.25">
      <c r="A49" s="507" t="s">
        <v>257</v>
      </c>
      <c r="B49" s="168" t="s">
        <v>83</v>
      </c>
      <c r="C49" s="43">
        <v>2000</v>
      </c>
      <c r="D49" s="718"/>
      <c r="E49" s="718"/>
      <c r="F49" s="718"/>
      <c r="G49" s="718"/>
      <c r="H49" s="718"/>
      <c r="I49" s="718"/>
      <c r="J49" s="666">
        <f t="shared" si="16"/>
        <v>2000</v>
      </c>
      <c r="K49" s="666">
        <f t="shared" si="23"/>
        <v>1500</v>
      </c>
      <c r="L49" s="58">
        <f t="shared" si="17"/>
        <v>166.66666666666666</v>
      </c>
      <c r="M49" s="43">
        <f t="shared" si="24"/>
        <v>1666.6666666666667</v>
      </c>
      <c r="N49" s="673"/>
      <c r="O49" s="673"/>
      <c r="P49" s="1088"/>
      <c r="Q49" s="673"/>
      <c r="R49" s="673"/>
      <c r="S49" s="673"/>
      <c r="T49" s="673">
        <v>1611.4</v>
      </c>
      <c r="U49" s="673">
        <v>388.6</v>
      </c>
      <c r="V49" s="673"/>
      <c r="W49" s="99"/>
      <c r="X49" s="99"/>
      <c r="Y49" s="99"/>
      <c r="Z49" s="475">
        <f t="shared" si="25"/>
        <v>2000</v>
      </c>
      <c r="AA49" s="673">
        <f t="shared" si="26"/>
        <v>0</v>
      </c>
      <c r="AB49" s="43">
        <f t="shared" ref="AB49:AB56" si="27">Z49+AA49</f>
        <v>2000</v>
      </c>
      <c r="AC49" s="718">
        <f t="shared" si="21"/>
        <v>-333.33333333333326</v>
      </c>
      <c r="AD49" s="475">
        <f t="shared" si="22"/>
        <v>0</v>
      </c>
    </row>
    <row r="50" spans="1:30" x14ac:dyDescent="0.25">
      <c r="A50" s="507" t="s">
        <v>722</v>
      </c>
      <c r="B50" s="476" t="s">
        <v>87</v>
      </c>
      <c r="C50" s="43">
        <v>3000</v>
      </c>
      <c r="D50" s="718"/>
      <c r="E50" s="718"/>
      <c r="F50" s="718"/>
      <c r="G50" s="718"/>
      <c r="H50" s="718"/>
      <c r="I50" s="718"/>
      <c r="J50" s="666">
        <f t="shared" si="16"/>
        <v>3000</v>
      </c>
      <c r="K50" s="666">
        <f t="shared" si="23"/>
        <v>2250</v>
      </c>
      <c r="L50" s="58">
        <f t="shared" si="17"/>
        <v>250</v>
      </c>
      <c r="M50" s="43">
        <f t="shared" si="24"/>
        <v>2500</v>
      </c>
      <c r="N50" s="673"/>
      <c r="O50" s="673"/>
      <c r="P50" s="673"/>
      <c r="Q50" s="673"/>
      <c r="R50" s="673">
        <v>400</v>
      </c>
      <c r="S50" s="673">
        <v>360</v>
      </c>
      <c r="T50" s="673"/>
      <c r="U50" s="673"/>
      <c r="V50" s="673"/>
      <c r="W50" s="99"/>
      <c r="X50" s="99"/>
      <c r="Y50" s="99"/>
      <c r="Z50" s="475">
        <f t="shared" si="25"/>
        <v>760</v>
      </c>
      <c r="AA50" s="673">
        <f t="shared" si="26"/>
        <v>0</v>
      </c>
      <c r="AB50" s="43">
        <f t="shared" si="27"/>
        <v>760</v>
      </c>
      <c r="AC50" s="718">
        <f t="shared" si="21"/>
        <v>1740</v>
      </c>
      <c r="AD50" s="475">
        <f t="shared" si="22"/>
        <v>2240</v>
      </c>
    </row>
    <row r="51" spans="1:30" x14ac:dyDescent="0.25">
      <c r="A51" s="507" t="s">
        <v>586</v>
      </c>
      <c r="B51" s="168" t="s">
        <v>93</v>
      </c>
      <c r="C51" s="43"/>
      <c r="D51" s="718"/>
      <c r="E51" s="718"/>
      <c r="F51" s="718"/>
      <c r="G51" s="718"/>
      <c r="H51" s="718"/>
      <c r="I51" s="718"/>
      <c r="J51" s="666">
        <f t="shared" si="16"/>
        <v>0</v>
      </c>
      <c r="K51" s="666">
        <f t="shared" si="23"/>
        <v>0</v>
      </c>
      <c r="L51" s="58">
        <f t="shared" si="17"/>
        <v>0</v>
      </c>
      <c r="M51" s="43">
        <f t="shared" si="24"/>
        <v>0</v>
      </c>
      <c r="N51" s="673"/>
      <c r="O51" s="673"/>
      <c r="P51" s="673"/>
      <c r="Q51" s="673"/>
      <c r="R51" s="673"/>
      <c r="S51" s="673"/>
      <c r="T51" s="673"/>
      <c r="U51" s="673"/>
      <c r="V51" s="673"/>
      <c r="W51" s="99"/>
      <c r="X51" s="99"/>
      <c r="Y51" s="99"/>
      <c r="Z51" s="475">
        <f t="shared" si="25"/>
        <v>0</v>
      </c>
      <c r="AA51" s="673">
        <f t="shared" si="26"/>
        <v>0</v>
      </c>
      <c r="AB51" s="43">
        <f t="shared" si="27"/>
        <v>0</v>
      </c>
      <c r="AC51" s="718">
        <f t="shared" si="21"/>
        <v>0</v>
      </c>
      <c r="AD51" s="475">
        <f t="shared" si="22"/>
        <v>0</v>
      </c>
    </row>
    <row r="52" spans="1:30" x14ac:dyDescent="0.25">
      <c r="A52" s="567" t="s">
        <v>371</v>
      </c>
      <c r="B52" s="168"/>
      <c r="C52" s="43">
        <v>2400</v>
      </c>
      <c r="D52" s="718"/>
      <c r="E52" s="718"/>
      <c r="F52" s="718"/>
      <c r="G52" s="718"/>
      <c r="H52" s="718"/>
      <c r="I52" s="718"/>
      <c r="J52" s="666">
        <f t="shared" si="16"/>
        <v>2400</v>
      </c>
      <c r="K52" s="666">
        <f t="shared" si="23"/>
        <v>1800</v>
      </c>
      <c r="L52" s="58">
        <f t="shared" si="17"/>
        <v>200</v>
      </c>
      <c r="M52" s="43">
        <f t="shared" si="24"/>
        <v>2000</v>
      </c>
      <c r="N52" s="673"/>
      <c r="O52" s="673"/>
      <c r="P52" s="673"/>
      <c r="Q52" s="673"/>
      <c r="R52" s="673"/>
      <c r="S52" s="673"/>
      <c r="T52" s="673">
        <v>880</v>
      </c>
      <c r="U52" s="673">
        <v>900</v>
      </c>
      <c r="V52" s="673"/>
      <c r="W52" s="99"/>
      <c r="X52" s="99"/>
      <c r="Y52" s="99"/>
      <c r="Z52" s="475">
        <f t="shared" si="25"/>
        <v>1780</v>
      </c>
      <c r="AA52" s="673">
        <f t="shared" si="26"/>
        <v>0</v>
      </c>
      <c r="AB52" s="43">
        <f t="shared" si="27"/>
        <v>1780</v>
      </c>
      <c r="AC52" s="718">
        <f t="shared" si="21"/>
        <v>220</v>
      </c>
      <c r="AD52" s="475">
        <f t="shared" si="22"/>
        <v>620</v>
      </c>
    </row>
    <row r="53" spans="1:30" x14ac:dyDescent="0.25">
      <c r="A53" s="567" t="s">
        <v>749</v>
      </c>
      <c r="B53" s="168"/>
      <c r="C53" s="43">
        <v>19500</v>
      </c>
      <c r="D53" s="718"/>
      <c r="E53" s="718"/>
      <c r="F53" s="718"/>
      <c r="G53" s="718"/>
      <c r="H53" s="718"/>
      <c r="I53" s="718"/>
      <c r="J53" s="666">
        <f t="shared" si="16"/>
        <v>19500</v>
      </c>
      <c r="K53" s="666">
        <f t="shared" si="23"/>
        <v>14625</v>
      </c>
      <c r="L53" s="58">
        <f t="shared" si="17"/>
        <v>1625</v>
      </c>
      <c r="M53" s="43">
        <f t="shared" si="24"/>
        <v>16250</v>
      </c>
      <c r="N53" s="673"/>
      <c r="O53" s="673"/>
      <c r="P53" s="673"/>
      <c r="Q53" s="673"/>
      <c r="R53" s="673"/>
      <c r="S53" s="673"/>
      <c r="T53" s="673"/>
      <c r="U53" s="673"/>
      <c r="V53" s="673"/>
      <c r="W53" s="99"/>
      <c r="X53" s="99"/>
      <c r="Y53" s="99"/>
      <c r="Z53" s="475">
        <f t="shared" si="25"/>
        <v>0</v>
      </c>
      <c r="AA53" s="673">
        <f t="shared" si="26"/>
        <v>0</v>
      </c>
      <c r="AB53" s="43">
        <f t="shared" si="27"/>
        <v>0</v>
      </c>
      <c r="AC53" s="718">
        <f t="shared" si="21"/>
        <v>16250</v>
      </c>
      <c r="AD53" s="475">
        <f t="shared" si="22"/>
        <v>19500</v>
      </c>
    </row>
    <row r="54" spans="1:30" x14ac:dyDescent="0.25">
      <c r="A54" s="507" t="s">
        <v>1376</v>
      </c>
      <c r="B54" s="168"/>
      <c r="C54" s="718"/>
      <c r="D54" s="718">
        <v>4000</v>
      </c>
      <c r="E54" s="718"/>
      <c r="F54" s="718"/>
      <c r="G54" s="718"/>
      <c r="H54" s="718"/>
      <c r="I54" s="718"/>
      <c r="J54" s="666">
        <f t="shared" si="16"/>
        <v>4000</v>
      </c>
      <c r="K54" s="666">
        <f t="shared" si="23"/>
        <v>3000</v>
      </c>
      <c r="L54" s="666"/>
      <c r="M54" s="718"/>
      <c r="N54" s="673"/>
      <c r="O54" s="673"/>
      <c r="P54" s="673"/>
      <c r="Q54" s="673"/>
      <c r="R54" s="673"/>
      <c r="S54" s="673"/>
      <c r="T54" s="673"/>
      <c r="U54" s="673"/>
      <c r="V54" s="673"/>
      <c r="W54" s="929"/>
      <c r="X54" s="929"/>
      <c r="Y54" s="929"/>
      <c r="Z54" s="475">
        <f t="shared" si="25"/>
        <v>0</v>
      </c>
      <c r="AA54" s="673">
        <f t="shared" si="26"/>
        <v>0</v>
      </c>
      <c r="AB54" s="718"/>
      <c r="AC54" s="718"/>
      <c r="AD54" s="475"/>
    </row>
    <row r="55" spans="1:30" x14ac:dyDescent="0.25">
      <c r="A55" s="507" t="s">
        <v>155</v>
      </c>
      <c r="B55" s="476" t="s">
        <v>106</v>
      </c>
      <c r="C55" s="43">
        <v>2500</v>
      </c>
      <c r="D55" s="718"/>
      <c r="E55" s="718"/>
      <c r="F55" s="718"/>
      <c r="G55" s="718"/>
      <c r="H55" s="718"/>
      <c r="I55" s="718"/>
      <c r="J55" s="666">
        <f t="shared" si="16"/>
        <v>2500</v>
      </c>
      <c r="K55" s="666">
        <f t="shared" si="23"/>
        <v>1875</v>
      </c>
      <c r="L55" s="58">
        <f t="shared" si="17"/>
        <v>208.33333333333334</v>
      </c>
      <c r="M55" s="43">
        <f t="shared" si="24"/>
        <v>2083.3333333333335</v>
      </c>
      <c r="N55" s="673"/>
      <c r="O55" s="673"/>
      <c r="P55" s="673"/>
      <c r="Q55" s="673"/>
      <c r="R55" s="673"/>
      <c r="S55" s="673"/>
      <c r="T55" s="673"/>
      <c r="U55" s="673"/>
      <c r="V55" s="673"/>
      <c r="W55" s="99"/>
      <c r="X55" s="99"/>
      <c r="Y55" s="99"/>
      <c r="Z55" s="475">
        <f t="shared" si="25"/>
        <v>0</v>
      </c>
      <c r="AA55" s="673">
        <f t="shared" si="26"/>
        <v>0</v>
      </c>
      <c r="AB55" s="43">
        <f t="shared" si="27"/>
        <v>0</v>
      </c>
      <c r="AC55" s="718">
        <f t="shared" si="21"/>
        <v>2083.3333333333335</v>
      </c>
      <c r="AD55" s="475">
        <f t="shared" si="22"/>
        <v>2500</v>
      </c>
    </row>
    <row r="56" spans="1:30" x14ac:dyDescent="0.25">
      <c r="A56" s="480"/>
      <c r="B56" s="476"/>
      <c r="C56" s="565"/>
      <c r="D56" s="565"/>
      <c r="E56" s="565"/>
      <c r="F56" s="565"/>
      <c r="G56" s="565"/>
      <c r="H56" s="565"/>
      <c r="I56" s="565"/>
      <c r="J56" s="666">
        <f t="shared" si="16"/>
        <v>0</v>
      </c>
      <c r="K56" s="666">
        <f t="shared" si="23"/>
        <v>0</v>
      </c>
      <c r="L56" s="58"/>
      <c r="M56" s="43"/>
      <c r="N56" s="673"/>
      <c r="O56" s="673"/>
      <c r="P56" s="673"/>
      <c r="Q56" s="673"/>
      <c r="R56" s="673"/>
      <c r="S56" s="673"/>
      <c r="T56" s="673"/>
      <c r="U56" s="673"/>
      <c r="V56" s="673"/>
      <c r="W56" s="99"/>
      <c r="X56" s="99"/>
      <c r="Y56" s="99"/>
      <c r="Z56" s="475">
        <f t="shared" si="25"/>
        <v>0</v>
      </c>
      <c r="AA56" s="673">
        <f t="shared" si="26"/>
        <v>0</v>
      </c>
      <c r="AB56" s="43">
        <f t="shared" si="27"/>
        <v>0</v>
      </c>
      <c r="AC56" s="718">
        <f t="shared" si="21"/>
        <v>0</v>
      </c>
      <c r="AD56" s="475">
        <f t="shared" si="22"/>
        <v>0</v>
      </c>
    </row>
    <row r="57" spans="1:30" x14ac:dyDescent="0.25">
      <c r="A57" s="472" t="s">
        <v>108</v>
      </c>
      <c r="B57" s="485"/>
      <c r="C57" s="563">
        <f>SUM(C34:C56)</f>
        <v>608000</v>
      </c>
      <c r="D57" s="563">
        <f>SUM(D34:D56)</f>
        <v>400000</v>
      </c>
      <c r="E57" s="563">
        <f>SUM(E34:E56)</f>
        <v>5060</v>
      </c>
      <c r="F57" s="563">
        <f t="shared" ref="F57:H57" si="28">SUM(F34:F56)</f>
        <v>0</v>
      </c>
      <c r="G57" s="563">
        <f t="shared" si="28"/>
        <v>0</v>
      </c>
      <c r="H57" s="563">
        <f t="shared" si="28"/>
        <v>0</v>
      </c>
      <c r="I57" s="563">
        <f t="shared" ref="I57" si="29">SUM(I34:I56)</f>
        <v>0</v>
      </c>
      <c r="J57" s="563">
        <f>SUM(J34:J56)</f>
        <v>1013060</v>
      </c>
      <c r="K57" s="563">
        <f t="shared" ref="K57:AD57" si="30">SUM(K34:K56)</f>
        <v>759795</v>
      </c>
      <c r="L57" s="563">
        <f t="shared" si="30"/>
        <v>81755</v>
      </c>
      <c r="M57" s="563">
        <f t="shared" si="30"/>
        <v>817550</v>
      </c>
      <c r="N57" s="725">
        <f t="shared" si="30"/>
        <v>19233.53</v>
      </c>
      <c r="O57" s="725">
        <f t="shared" si="30"/>
        <v>50044.460000000006</v>
      </c>
      <c r="P57" s="725">
        <f t="shared" si="30"/>
        <v>44900.369999999995</v>
      </c>
      <c r="Q57" s="725">
        <f t="shared" si="30"/>
        <v>30282.340000000004</v>
      </c>
      <c r="R57" s="725">
        <f t="shared" si="30"/>
        <v>40283.11</v>
      </c>
      <c r="S57" s="725">
        <f t="shared" si="30"/>
        <v>39940</v>
      </c>
      <c r="T57" s="725">
        <f t="shared" si="30"/>
        <v>34475.29</v>
      </c>
      <c r="U57" s="725">
        <f t="shared" si="30"/>
        <v>49415.35</v>
      </c>
      <c r="V57" s="725">
        <f t="shared" si="30"/>
        <v>50420.6</v>
      </c>
      <c r="W57" s="563">
        <f t="shared" si="30"/>
        <v>35318.480000000003</v>
      </c>
      <c r="X57" s="563">
        <f t="shared" si="30"/>
        <v>0</v>
      </c>
      <c r="Y57" s="563">
        <f t="shared" si="30"/>
        <v>0</v>
      </c>
      <c r="Z57" s="563">
        <f t="shared" si="30"/>
        <v>358995.05000000005</v>
      </c>
      <c r="AA57" s="563">
        <f t="shared" si="30"/>
        <v>35318.480000000003</v>
      </c>
      <c r="AB57" s="563">
        <f t="shared" si="30"/>
        <v>394313.53</v>
      </c>
      <c r="AC57" s="563">
        <f t="shared" si="30"/>
        <v>423236.47</v>
      </c>
      <c r="AD57" s="563">
        <f t="shared" si="30"/>
        <v>586746.47</v>
      </c>
    </row>
    <row r="58" spans="1:30" x14ac:dyDescent="0.25">
      <c r="A58" s="473" t="s">
        <v>230</v>
      </c>
      <c r="B58" s="473"/>
      <c r="C58" s="565"/>
      <c r="D58" s="565"/>
      <c r="E58" s="565"/>
      <c r="F58" s="565"/>
      <c r="G58" s="565"/>
      <c r="H58" s="565"/>
      <c r="I58" s="565"/>
      <c r="J58" s="565"/>
      <c r="K58" s="565"/>
      <c r="L58" s="565"/>
      <c r="M58" s="99"/>
      <c r="N58" s="673"/>
      <c r="O58" s="673"/>
      <c r="P58" s="673"/>
      <c r="Q58" s="673"/>
      <c r="R58" s="673"/>
      <c r="S58" s="673"/>
      <c r="T58" s="673"/>
      <c r="U58" s="673"/>
      <c r="V58" s="673"/>
      <c r="W58" s="99"/>
      <c r="X58" s="99"/>
      <c r="Y58" s="99"/>
      <c r="Z58" s="475">
        <f t="shared" ref="Z58:Z77" si="31">N58+O58+P58+Q58+R58+S58+T58+U58+V58</f>
        <v>0</v>
      </c>
      <c r="AA58" s="673">
        <f t="shared" ref="AA58:AA77" si="32">W58</f>
        <v>0</v>
      </c>
      <c r="AB58" s="99"/>
      <c r="AC58" s="99"/>
      <c r="AD58" s="99"/>
    </row>
    <row r="59" spans="1:30" x14ac:dyDescent="0.25">
      <c r="A59" s="472" t="s">
        <v>320</v>
      </c>
      <c r="B59" s="473"/>
      <c r="C59" s="565"/>
      <c r="D59" s="565"/>
      <c r="E59" s="565"/>
      <c r="F59" s="565"/>
      <c r="G59" s="565"/>
      <c r="H59" s="565"/>
      <c r="I59" s="565"/>
      <c r="J59" s="565"/>
      <c r="K59" s="565"/>
      <c r="L59" s="565"/>
      <c r="M59" s="99"/>
      <c r="N59" s="673"/>
      <c r="O59" s="673"/>
      <c r="P59" s="673"/>
      <c r="Q59" s="673"/>
      <c r="R59" s="673"/>
      <c r="S59" s="673"/>
      <c r="T59" s="673"/>
      <c r="U59" s="673"/>
      <c r="V59" s="673"/>
      <c r="W59" s="99"/>
      <c r="X59" s="99"/>
      <c r="Y59" s="99"/>
      <c r="Z59" s="475">
        <f t="shared" si="31"/>
        <v>0</v>
      </c>
      <c r="AA59" s="673">
        <f t="shared" si="32"/>
        <v>0</v>
      </c>
      <c r="AB59" s="99"/>
      <c r="AC59" s="99"/>
      <c r="AD59" s="99"/>
    </row>
    <row r="60" spans="1:30" x14ac:dyDescent="0.25">
      <c r="A60" s="127" t="s">
        <v>340</v>
      </c>
      <c r="B60" s="1114" t="s">
        <v>754</v>
      </c>
      <c r="C60" s="565"/>
      <c r="D60" s="565"/>
      <c r="E60" s="565"/>
      <c r="F60" s="565"/>
      <c r="G60" s="565"/>
      <c r="H60" s="565"/>
      <c r="I60" s="565"/>
      <c r="J60" s="565"/>
      <c r="K60" s="565"/>
      <c r="L60" s="565"/>
      <c r="M60" s="99"/>
      <c r="N60" s="673"/>
      <c r="O60" s="673"/>
      <c r="P60" s="673"/>
      <c r="Q60" s="673"/>
      <c r="R60" s="673"/>
      <c r="S60" s="673"/>
      <c r="T60" s="673"/>
      <c r="U60" s="673"/>
      <c r="V60" s="673"/>
      <c r="W60" s="99"/>
      <c r="X60" s="99"/>
      <c r="Y60" s="99"/>
      <c r="Z60" s="475">
        <f t="shared" si="31"/>
        <v>0</v>
      </c>
      <c r="AA60" s="673">
        <f t="shared" si="32"/>
        <v>0</v>
      </c>
      <c r="AB60" s="99"/>
      <c r="AC60" s="99"/>
      <c r="AD60" s="475">
        <f t="shared" ref="AD60:AD64" si="33">J60-AB60</f>
        <v>0</v>
      </c>
    </row>
    <row r="61" spans="1:30" x14ac:dyDescent="0.25">
      <c r="A61" s="167" t="s">
        <v>341</v>
      </c>
      <c r="B61" s="473"/>
      <c r="C61" s="565">
        <v>61143.13</v>
      </c>
      <c r="D61" s="565"/>
      <c r="E61" s="565"/>
      <c r="F61" s="565"/>
      <c r="G61" s="565"/>
      <c r="H61" s="565"/>
      <c r="I61" s="565"/>
      <c r="J61" s="666">
        <f t="shared" ref="J61:J64" si="34">SUM(C61:I61)</f>
        <v>61143.13</v>
      </c>
      <c r="K61" s="565">
        <f>J61</f>
        <v>61143.13</v>
      </c>
      <c r="L61" s="565">
        <f>J61</f>
        <v>61143.13</v>
      </c>
      <c r="M61" s="43">
        <f>J61</f>
        <v>61143.13</v>
      </c>
      <c r="N61" s="673"/>
      <c r="O61" s="673"/>
      <c r="P61" s="673"/>
      <c r="Q61" s="673"/>
      <c r="R61" s="673"/>
      <c r="S61" s="673"/>
      <c r="T61" s="673"/>
      <c r="U61" s="673">
        <v>4151.13</v>
      </c>
      <c r="V61" s="673"/>
      <c r="W61" s="99"/>
      <c r="X61" s="99"/>
      <c r="Y61" s="99"/>
      <c r="Z61" s="475">
        <f t="shared" si="31"/>
        <v>4151.13</v>
      </c>
      <c r="AA61" s="673">
        <f t="shared" si="32"/>
        <v>0</v>
      </c>
      <c r="AB61" s="43">
        <f>Z61+AA61</f>
        <v>4151.13</v>
      </c>
      <c r="AC61" s="718">
        <f t="shared" ref="AC61:AC64" si="35">M61-AB61</f>
        <v>56992</v>
      </c>
      <c r="AD61" s="475">
        <f t="shared" si="33"/>
        <v>56992</v>
      </c>
    </row>
    <row r="62" spans="1:30" x14ac:dyDescent="0.25">
      <c r="A62" s="167" t="s">
        <v>342</v>
      </c>
      <c r="B62" s="473"/>
      <c r="C62" s="565">
        <f>100000</f>
        <v>100000</v>
      </c>
      <c r="D62" s="565"/>
      <c r="E62" s="565"/>
      <c r="F62" s="565"/>
      <c r="G62" s="565"/>
      <c r="H62" s="565"/>
      <c r="I62" s="565"/>
      <c r="J62" s="666">
        <f t="shared" si="34"/>
        <v>100000</v>
      </c>
      <c r="K62" s="565">
        <f t="shared" ref="K62:K64" si="36">J62</f>
        <v>100000</v>
      </c>
      <c r="L62" s="565">
        <f>J62</f>
        <v>100000</v>
      </c>
      <c r="M62" s="43">
        <f>J62</f>
        <v>100000</v>
      </c>
      <c r="N62" s="673"/>
      <c r="O62" s="673"/>
      <c r="P62" s="673"/>
      <c r="Q62" s="673"/>
      <c r="R62" s="673"/>
      <c r="S62" s="673"/>
      <c r="T62" s="673"/>
      <c r="U62" s="673"/>
      <c r="V62" s="673"/>
      <c r="W62" s="99"/>
      <c r="X62" s="99"/>
      <c r="Y62" s="99"/>
      <c r="Z62" s="475">
        <f t="shared" si="31"/>
        <v>0</v>
      </c>
      <c r="AA62" s="673">
        <f t="shared" si="32"/>
        <v>0</v>
      </c>
      <c r="AB62" s="718">
        <f t="shared" ref="AB62:AB64" si="37">Z62+AA62</f>
        <v>0</v>
      </c>
      <c r="AC62" s="718">
        <f t="shared" si="35"/>
        <v>100000</v>
      </c>
      <c r="AD62" s="475">
        <f t="shared" si="33"/>
        <v>100000</v>
      </c>
    </row>
    <row r="63" spans="1:30" x14ac:dyDescent="0.25">
      <c r="A63" s="934" t="s">
        <v>1133</v>
      </c>
      <c r="B63" s="1114" t="s">
        <v>754</v>
      </c>
      <c r="C63" s="565"/>
      <c r="D63" s="565"/>
      <c r="E63" s="565"/>
      <c r="F63" s="565"/>
      <c r="G63" s="565"/>
      <c r="H63" s="565"/>
      <c r="I63" s="565"/>
      <c r="J63" s="666">
        <f t="shared" si="34"/>
        <v>0</v>
      </c>
      <c r="K63" s="565">
        <f t="shared" si="36"/>
        <v>0</v>
      </c>
      <c r="L63" s="565">
        <f t="shared" ref="L63:L64" si="38">J63</f>
        <v>0</v>
      </c>
      <c r="M63" s="718">
        <f t="shared" ref="M63:M64" si="39">J63</f>
        <v>0</v>
      </c>
      <c r="N63" s="673"/>
      <c r="O63" s="673"/>
      <c r="P63" s="673"/>
      <c r="Q63" s="673"/>
      <c r="R63" s="673"/>
      <c r="S63" s="673"/>
      <c r="T63" s="673"/>
      <c r="U63" s="673"/>
      <c r="V63" s="673"/>
      <c r="W63" s="99"/>
      <c r="X63" s="99"/>
      <c r="Y63" s="99"/>
      <c r="Z63" s="475">
        <f t="shared" si="31"/>
        <v>0</v>
      </c>
      <c r="AA63" s="673">
        <f t="shared" si="32"/>
        <v>0</v>
      </c>
      <c r="AB63" s="718">
        <f t="shared" si="37"/>
        <v>0</v>
      </c>
      <c r="AC63" s="718">
        <f t="shared" si="35"/>
        <v>0</v>
      </c>
      <c r="AD63" s="475">
        <f t="shared" si="33"/>
        <v>0</v>
      </c>
    </row>
    <row r="64" spans="1:30" x14ac:dyDescent="0.25">
      <c r="A64" s="933" t="s">
        <v>1134</v>
      </c>
      <c r="B64" s="934"/>
      <c r="C64" s="565">
        <v>75000</v>
      </c>
      <c r="D64" s="565"/>
      <c r="E64" s="565"/>
      <c r="F64" s="565"/>
      <c r="G64" s="565"/>
      <c r="H64" s="565"/>
      <c r="I64" s="565"/>
      <c r="J64" s="666">
        <f t="shared" si="34"/>
        <v>75000</v>
      </c>
      <c r="K64" s="565">
        <f t="shared" si="36"/>
        <v>75000</v>
      </c>
      <c r="L64" s="565">
        <f t="shared" si="38"/>
        <v>75000</v>
      </c>
      <c r="M64" s="718">
        <f t="shared" si="39"/>
        <v>75000</v>
      </c>
      <c r="N64" s="673"/>
      <c r="O64" s="673"/>
      <c r="P64" s="673"/>
      <c r="Q64" s="673"/>
      <c r="R64" s="673"/>
      <c r="S64" s="673"/>
      <c r="T64" s="673"/>
      <c r="U64" s="673"/>
      <c r="V64" s="673"/>
      <c r="W64" s="99"/>
      <c r="X64" s="99"/>
      <c r="Y64" s="99"/>
      <c r="Z64" s="475">
        <f t="shared" si="31"/>
        <v>0</v>
      </c>
      <c r="AA64" s="673">
        <f t="shared" si="32"/>
        <v>0</v>
      </c>
      <c r="AB64" s="718">
        <f t="shared" si="37"/>
        <v>0</v>
      </c>
      <c r="AC64" s="718">
        <f t="shared" si="35"/>
        <v>75000</v>
      </c>
      <c r="AD64" s="475">
        <f t="shared" si="33"/>
        <v>75000</v>
      </c>
    </row>
    <row r="65" spans="1:30" x14ac:dyDescent="0.25">
      <c r="A65" s="472" t="s">
        <v>333</v>
      </c>
      <c r="B65" s="473"/>
      <c r="C65" s="563">
        <f>SUM(C61:C64)</f>
        <v>236143.13</v>
      </c>
      <c r="D65" s="563">
        <f>SUM(D61:D64)</f>
        <v>0</v>
      </c>
      <c r="E65" s="563">
        <f>SUM(E61:E64)</f>
        <v>0</v>
      </c>
      <c r="F65" s="563">
        <f t="shared" ref="F65:H65" si="40">SUM(F61:F64)</f>
        <v>0</v>
      </c>
      <c r="G65" s="563">
        <f t="shared" si="40"/>
        <v>0</v>
      </c>
      <c r="H65" s="563">
        <f t="shared" si="40"/>
        <v>0</v>
      </c>
      <c r="I65" s="563">
        <f t="shared" ref="I65" si="41">SUM(I61:I64)</f>
        <v>0</v>
      </c>
      <c r="J65" s="563">
        <f>SUM(J61:J64)</f>
        <v>236143.13</v>
      </c>
      <c r="K65" s="563">
        <f t="shared" ref="K65:AD65" si="42">SUM(K61:K64)</f>
        <v>236143.13</v>
      </c>
      <c r="L65" s="563">
        <f t="shared" si="42"/>
        <v>236143.13</v>
      </c>
      <c r="M65" s="563">
        <f t="shared" si="42"/>
        <v>236143.13</v>
      </c>
      <c r="N65" s="563">
        <f t="shared" si="42"/>
        <v>0</v>
      </c>
      <c r="O65" s="725">
        <f t="shared" si="42"/>
        <v>0</v>
      </c>
      <c r="P65" s="725">
        <f t="shared" si="42"/>
        <v>0</v>
      </c>
      <c r="Q65" s="725">
        <f t="shared" si="42"/>
        <v>0</v>
      </c>
      <c r="R65" s="725">
        <f t="shared" si="42"/>
        <v>0</v>
      </c>
      <c r="S65" s="725">
        <f t="shared" si="42"/>
        <v>0</v>
      </c>
      <c r="T65" s="725">
        <f t="shared" si="42"/>
        <v>0</v>
      </c>
      <c r="U65" s="725">
        <f t="shared" si="42"/>
        <v>4151.13</v>
      </c>
      <c r="V65" s="725">
        <f t="shared" si="42"/>
        <v>0</v>
      </c>
      <c r="W65" s="563">
        <f t="shared" si="42"/>
        <v>0</v>
      </c>
      <c r="X65" s="563">
        <f t="shared" si="42"/>
        <v>0</v>
      </c>
      <c r="Y65" s="563">
        <f t="shared" si="42"/>
        <v>0</v>
      </c>
      <c r="Z65" s="475">
        <f t="shared" si="31"/>
        <v>4151.13</v>
      </c>
      <c r="AA65" s="673">
        <f t="shared" si="32"/>
        <v>0</v>
      </c>
      <c r="AB65" s="563">
        <f t="shared" si="42"/>
        <v>4151.13</v>
      </c>
      <c r="AC65" s="563">
        <f t="shared" si="42"/>
        <v>231992</v>
      </c>
      <c r="AD65" s="563">
        <f t="shared" si="42"/>
        <v>231992</v>
      </c>
    </row>
    <row r="66" spans="1:30" x14ac:dyDescent="0.25">
      <c r="A66" s="472" t="s">
        <v>329</v>
      </c>
      <c r="B66" s="473"/>
      <c r="C66" s="565"/>
      <c r="D66" s="565"/>
      <c r="E66" s="565"/>
      <c r="F66" s="565"/>
      <c r="G66" s="565"/>
      <c r="H66" s="565"/>
      <c r="I66" s="565"/>
      <c r="J66" s="565"/>
      <c r="K66" s="565"/>
      <c r="L66" s="565"/>
      <c r="M66" s="99"/>
      <c r="N66" s="673"/>
      <c r="O66" s="673"/>
      <c r="P66" s="673"/>
      <c r="Q66" s="673"/>
      <c r="R66" s="673"/>
      <c r="S66" s="673"/>
      <c r="T66" s="673"/>
      <c r="U66" s="673"/>
      <c r="V66" s="673"/>
      <c r="W66" s="99"/>
      <c r="X66" s="99"/>
      <c r="Y66" s="99"/>
      <c r="Z66" s="475">
        <f t="shared" si="31"/>
        <v>0</v>
      </c>
      <c r="AA66" s="673">
        <f t="shared" si="32"/>
        <v>0</v>
      </c>
      <c r="AB66" s="99"/>
      <c r="AC66" s="99"/>
      <c r="AD66" s="99"/>
    </row>
    <row r="67" spans="1:30" s="1119" customFormat="1" x14ac:dyDescent="0.25">
      <c r="A67" s="1113" t="s">
        <v>753</v>
      </c>
      <c r="B67" s="1114" t="s">
        <v>754</v>
      </c>
      <c r="C67" s="1115"/>
      <c r="D67" s="1115"/>
      <c r="E67" s="1115"/>
      <c r="F67" s="1115"/>
      <c r="G67" s="1115"/>
      <c r="H67" s="1115"/>
      <c r="I67" s="1115"/>
      <c r="J67" s="1115"/>
      <c r="K67" s="1115"/>
      <c r="L67" s="1115"/>
      <c r="M67" s="1116"/>
      <c r="N67" s="1117"/>
      <c r="O67" s="1117"/>
      <c r="P67" s="1117"/>
      <c r="Q67" s="1117"/>
      <c r="R67" s="1117"/>
      <c r="S67" s="1117"/>
      <c r="T67" s="1117"/>
      <c r="U67" s="1117"/>
      <c r="V67" s="1117"/>
      <c r="W67" s="1118"/>
      <c r="X67" s="1118"/>
      <c r="Y67" s="1118"/>
      <c r="Z67" s="475">
        <f t="shared" si="31"/>
        <v>0</v>
      </c>
      <c r="AA67" s="673">
        <f t="shared" si="32"/>
        <v>0</v>
      </c>
      <c r="AB67" s="1118"/>
      <c r="AC67" s="1116"/>
      <c r="AD67" s="1118"/>
    </row>
    <row r="68" spans="1:30" s="1119" customFormat="1" x14ac:dyDescent="0.25">
      <c r="A68" s="1120" t="s">
        <v>750</v>
      </c>
      <c r="B68" s="1121"/>
      <c r="C68" s="1115">
        <v>200000</v>
      </c>
      <c r="D68" s="1115"/>
      <c r="E68" s="1115"/>
      <c r="F68" s="1115"/>
      <c r="G68" s="1115"/>
      <c r="H68" s="1115"/>
      <c r="I68" s="1115"/>
      <c r="J68" s="666">
        <f t="shared" ref="J68:J77" si="43">SUM(C68:I68)</f>
        <v>200000</v>
      </c>
      <c r="K68" s="1115">
        <f t="shared" ref="K68:K77" si="44">J68</f>
        <v>200000</v>
      </c>
      <c r="L68" s="1115">
        <f t="shared" ref="L68:L77" si="45">J68</f>
        <v>200000</v>
      </c>
      <c r="M68" s="1116">
        <f t="shared" ref="M68:M77" si="46">J68</f>
        <v>200000</v>
      </c>
      <c r="N68" s="1117"/>
      <c r="O68" s="1117"/>
      <c r="P68" s="1117"/>
      <c r="Q68" s="1117"/>
      <c r="R68" s="1117"/>
      <c r="S68" s="1117"/>
      <c r="T68" s="1117"/>
      <c r="U68" s="1117"/>
      <c r="V68" s="1117"/>
      <c r="W68" s="1118"/>
      <c r="X68" s="1118"/>
      <c r="Y68" s="1118"/>
      <c r="Z68" s="475">
        <f t="shared" si="31"/>
        <v>0</v>
      </c>
      <c r="AA68" s="673">
        <f t="shared" si="32"/>
        <v>0</v>
      </c>
      <c r="AB68" s="1116">
        <f t="shared" ref="AB68:AB77" si="47">Z68+AA68</f>
        <v>0</v>
      </c>
      <c r="AC68" s="718">
        <f t="shared" ref="AC68:AC77" si="48">M68-AB68</f>
        <v>200000</v>
      </c>
      <c r="AD68" s="475">
        <f t="shared" ref="AD68:AD77" si="49">J68-AB68</f>
        <v>200000</v>
      </c>
    </row>
    <row r="69" spans="1:30" s="1119" customFormat="1" x14ac:dyDescent="0.25">
      <c r="A69" s="1120" t="s">
        <v>751</v>
      </c>
      <c r="B69" s="1121"/>
      <c r="C69" s="1115">
        <v>75000</v>
      </c>
      <c r="D69" s="1115"/>
      <c r="E69" s="1115"/>
      <c r="F69" s="1115"/>
      <c r="G69" s="1115"/>
      <c r="H69" s="1115"/>
      <c r="I69" s="1115"/>
      <c r="J69" s="666">
        <f t="shared" si="43"/>
        <v>75000</v>
      </c>
      <c r="K69" s="1115">
        <f t="shared" si="44"/>
        <v>75000</v>
      </c>
      <c r="L69" s="1115">
        <f t="shared" si="45"/>
        <v>75000</v>
      </c>
      <c r="M69" s="1116">
        <f t="shared" si="46"/>
        <v>75000</v>
      </c>
      <c r="N69" s="1117"/>
      <c r="O69" s="1117"/>
      <c r="P69" s="1117"/>
      <c r="Q69" s="1117"/>
      <c r="R69" s="1117"/>
      <c r="S69" s="1117"/>
      <c r="T69" s="1117"/>
      <c r="U69" s="1117"/>
      <c r="V69" s="1117"/>
      <c r="W69" s="1118"/>
      <c r="X69" s="1118"/>
      <c r="Y69" s="1118"/>
      <c r="Z69" s="475">
        <f t="shared" si="31"/>
        <v>0</v>
      </c>
      <c r="AA69" s="673">
        <f t="shared" si="32"/>
        <v>0</v>
      </c>
      <c r="AB69" s="1116">
        <f t="shared" si="47"/>
        <v>0</v>
      </c>
      <c r="AC69" s="718">
        <f t="shared" si="48"/>
        <v>75000</v>
      </c>
      <c r="AD69" s="475">
        <f t="shared" si="49"/>
        <v>75000</v>
      </c>
    </row>
    <row r="70" spans="1:30" s="1119" customFormat="1" x14ac:dyDescent="0.25">
      <c r="A70" s="1120" t="s">
        <v>752</v>
      </c>
      <c r="B70" s="1121"/>
      <c r="C70" s="1115">
        <v>150000</v>
      </c>
      <c r="D70" s="1115"/>
      <c r="E70" s="1115"/>
      <c r="F70" s="1115"/>
      <c r="G70" s="1115"/>
      <c r="H70" s="1115"/>
      <c r="I70" s="1115"/>
      <c r="J70" s="666">
        <f t="shared" si="43"/>
        <v>150000</v>
      </c>
      <c r="K70" s="1115">
        <f t="shared" si="44"/>
        <v>150000</v>
      </c>
      <c r="L70" s="1115">
        <f t="shared" si="45"/>
        <v>150000</v>
      </c>
      <c r="M70" s="1116">
        <f t="shared" si="46"/>
        <v>150000</v>
      </c>
      <c r="N70" s="1117"/>
      <c r="O70" s="1117"/>
      <c r="P70" s="1117"/>
      <c r="Q70" s="1117"/>
      <c r="R70" s="1117"/>
      <c r="S70" s="1117"/>
      <c r="T70" s="1117"/>
      <c r="U70" s="1117"/>
      <c r="V70" s="1117"/>
      <c r="W70" s="1118"/>
      <c r="X70" s="1118"/>
      <c r="Y70" s="1118"/>
      <c r="Z70" s="475">
        <f t="shared" si="31"/>
        <v>0</v>
      </c>
      <c r="AA70" s="673">
        <f t="shared" si="32"/>
        <v>0</v>
      </c>
      <c r="AB70" s="1116">
        <f t="shared" si="47"/>
        <v>0</v>
      </c>
      <c r="AC70" s="718">
        <f t="shared" si="48"/>
        <v>150000</v>
      </c>
      <c r="AD70" s="475">
        <f t="shared" si="49"/>
        <v>150000</v>
      </c>
    </row>
    <row r="71" spans="1:30" s="1119" customFormat="1" ht="60.75" x14ac:dyDescent="0.25">
      <c r="A71" s="1122" t="s">
        <v>1247</v>
      </c>
      <c r="B71" s="1121"/>
      <c r="C71" s="1115"/>
      <c r="D71" s="1115">
        <f>-400000</f>
        <v>-400000</v>
      </c>
      <c r="E71" s="1115"/>
      <c r="F71" s="1115"/>
      <c r="G71" s="1115"/>
      <c r="H71" s="1115">
        <v>400000</v>
      </c>
      <c r="I71" s="1115"/>
      <c r="J71" s="666">
        <f t="shared" si="43"/>
        <v>0</v>
      </c>
      <c r="K71" s="1115">
        <f t="shared" si="44"/>
        <v>0</v>
      </c>
      <c r="L71" s="1115">
        <f t="shared" ref="L71" si="50">J71</f>
        <v>0</v>
      </c>
      <c r="M71" s="1116">
        <f t="shared" ref="M71" si="51">J71</f>
        <v>0</v>
      </c>
      <c r="N71" s="1117"/>
      <c r="O71" s="1117"/>
      <c r="P71" s="1117"/>
      <c r="Q71" s="1117"/>
      <c r="R71" s="1117"/>
      <c r="S71" s="1117"/>
      <c r="T71" s="1117"/>
      <c r="U71" s="1117"/>
      <c r="V71" s="1117"/>
      <c r="W71" s="1118"/>
      <c r="X71" s="1118"/>
      <c r="Y71" s="1118"/>
      <c r="Z71" s="475">
        <f t="shared" si="31"/>
        <v>0</v>
      </c>
      <c r="AA71" s="673">
        <f t="shared" si="32"/>
        <v>0</v>
      </c>
      <c r="AB71" s="1116">
        <f t="shared" ref="AB71" si="52">Z71+AA71</f>
        <v>0</v>
      </c>
      <c r="AC71" s="718">
        <f t="shared" si="48"/>
        <v>0</v>
      </c>
      <c r="AD71" s="475">
        <f t="shared" si="49"/>
        <v>0</v>
      </c>
    </row>
    <row r="72" spans="1:30" s="1119" customFormat="1" x14ac:dyDescent="0.25">
      <c r="A72" s="1123" t="s">
        <v>110</v>
      </c>
      <c r="B72" s="1124" t="s">
        <v>111</v>
      </c>
      <c r="C72" s="1115"/>
      <c r="D72" s="1115"/>
      <c r="E72" s="1115"/>
      <c r="F72" s="1115"/>
      <c r="G72" s="1115"/>
      <c r="H72" s="1115"/>
      <c r="I72" s="1115"/>
      <c r="J72" s="666">
        <f t="shared" si="43"/>
        <v>0</v>
      </c>
      <c r="K72" s="1115">
        <f t="shared" si="44"/>
        <v>0</v>
      </c>
      <c r="L72" s="1115">
        <f t="shared" si="45"/>
        <v>0</v>
      </c>
      <c r="M72" s="1116">
        <f t="shared" si="46"/>
        <v>0</v>
      </c>
      <c r="N72" s="1117"/>
      <c r="O72" s="1117"/>
      <c r="P72" s="1117"/>
      <c r="Q72" s="1117"/>
      <c r="R72" s="1117"/>
      <c r="S72" s="1117"/>
      <c r="T72" s="1117"/>
      <c r="U72" s="1117"/>
      <c r="V72" s="1117"/>
      <c r="W72" s="1118"/>
      <c r="X72" s="1118"/>
      <c r="Y72" s="1118"/>
      <c r="Z72" s="475">
        <f t="shared" si="31"/>
        <v>0</v>
      </c>
      <c r="AA72" s="673">
        <f t="shared" si="32"/>
        <v>0</v>
      </c>
      <c r="AB72" s="1116">
        <f t="shared" si="47"/>
        <v>0</v>
      </c>
      <c r="AC72" s="718">
        <f t="shared" si="48"/>
        <v>0</v>
      </c>
      <c r="AD72" s="475">
        <f t="shared" si="49"/>
        <v>0</v>
      </c>
    </row>
    <row r="73" spans="1:30" s="1119" customFormat="1" x14ac:dyDescent="0.25">
      <c r="A73" s="1120" t="s">
        <v>755</v>
      </c>
      <c r="B73" s="1121"/>
      <c r="C73" s="1115">
        <v>30000</v>
      </c>
      <c r="D73" s="1115"/>
      <c r="E73" s="1115"/>
      <c r="F73" s="1115"/>
      <c r="G73" s="1115"/>
      <c r="H73" s="1115"/>
      <c r="I73" s="1115">
        <f>19000</f>
        <v>19000</v>
      </c>
      <c r="J73" s="666">
        <f t="shared" si="43"/>
        <v>49000</v>
      </c>
      <c r="K73" s="1115">
        <f t="shared" si="44"/>
        <v>49000</v>
      </c>
      <c r="L73" s="1115">
        <f t="shared" si="45"/>
        <v>49000</v>
      </c>
      <c r="M73" s="1116">
        <f t="shared" si="46"/>
        <v>49000</v>
      </c>
      <c r="N73" s="1117"/>
      <c r="O73" s="1117"/>
      <c r="P73" s="1117"/>
      <c r="Q73" s="1117"/>
      <c r="R73" s="1117"/>
      <c r="S73" s="1117"/>
      <c r="T73" s="1117">
        <v>49000</v>
      </c>
      <c r="U73" s="1117"/>
      <c r="V73" s="1117"/>
      <c r="W73" s="1118"/>
      <c r="X73" s="1118"/>
      <c r="Y73" s="1118"/>
      <c r="Z73" s="475">
        <f t="shared" si="31"/>
        <v>49000</v>
      </c>
      <c r="AA73" s="673">
        <f t="shared" si="32"/>
        <v>0</v>
      </c>
      <c r="AB73" s="1116">
        <f t="shared" si="47"/>
        <v>49000</v>
      </c>
      <c r="AC73" s="718">
        <f t="shared" si="48"/>
        <v>0</v>
      </c>
      <c r="AD73" s="475">
        <f t="shared" si="49"/>
        <v>0</v>
      </c>
    </row>
    <row r="74" spans="1:30" s="1119" customFormat="1" x14ac:dyDescent="0.25">
      <c r="A74" s="1125" t="s">
        <v>756</v>
      </c>
      <c r="B74" s="1126"/>
      <c r="C74" s="1115">
        <v>2000</v>
      </c>
      <c r="D74" s="1115"/>
      <c r="E74" s="1115"/>
      <c r="F74" s="1115"/>
      <c r="G74" s="1115"/>
      <c r="H74" s="1115"/>
      <c r="I74" s="1115"/>
      <c r="J74" s="666">
        <f t="shared" si="43"/>
        <v>2000</v>
      </c>
      <c r="K74" s="1115">
        <f t="shared" si="44"/>
        <v>2000</v>
      </c>
      <c r="L74" s="1115">
        <f t="shared" si="45"/>
        <v>2000</v>
      </c>
      <c r="M74" s="1116">
        <f t="shared" si="46"/>
        <v>2000</v>
      </c>
      <c r="N74" s="1117"/>
      <c r="O74" s="1117"/>
      <c r="P74" s="1117"/>
      <c r="Q74" s="1117">
        <v>1900</v>
      </c>
      <c r="R74" s="1117"/>
      <c r="S74" s="1117"/>
      <c r="T74" s="1117"/>
      <c r="U74" s="1117"/>
      <c r="V74" s="1117"/>
      <c r="W74" s="1118"/>
      <c r="X74" s="1118"/>
      <c r="Y74" s="1118"/>
      <c r="Z74" s="475">
        <f t="shared" si="31"/>
        <v>1900</v>
      </c>
      <c r="AA74" s="673">
        <f t="shared" si="32"/>
        <v>0</v>
      </c>
      <c r="AB74" s="1116">
        <f t="shared" si="47"/>
        <v>1900</v>
      </c>
      <c r="AC74" s="718">
        <f t="shared" si="48"/>
        <v>100</v>
      </c>
      <c r="AD74" s="475">
        <f t="shared" si="49"/>
        <v>100</v>
      </c>
    </row>
    <row r="75" spans="1:30" s="1119" customFormat="1" x14ac:dyDescent="0.25">
      <c r="A75" s="1123" t="s">
        <v>247</v>
      </c>
      <c r="B75" s="1127" t="s">
        <v>113</v>
      </c>
      <c r="C75" s="1115"/>
      <c r="D75" s="1115"/>
      <c r="E75" s="1115"/>
      <c r="F75" s="1115"/>
      <c r="G75" s="1115"/>
      <c r="H75" s="1115"/>
      <c r="I75" s="1115"/>
      <c r="J75" s="666">
        <f t="shared" si="43"/>
        <v>0</v>
      </c>
      <c r="K75" s="1115">
        <f t="shared" si="44"/>
        <v>0</v>
      </c>
      <c r="L75" s="1115">
        <f t="shared" si="45"/>
        <v>0</v>
      </c>
      <c r="M75" s="1116">
        <f t="shared" si="46"/>
        <v>0</v>
      </c>
      <c r="N75" s="1117"/>
      <c r="O75" s="1117"/>
      <c r="P75" s="1117"/>
      <c r="Q75" s="1117"/>
      <c r="R75" s="1117"/>
      <c r="S75" s="1117"/>
      <c r="T75" s="1117"/>
      <c r="U75" s="1117"/>
      <c r="V75" s="1117"/>
      <c r="W75" s="1118"/>
      <c r="X75" s="1118"/>
      <c r="Y75" s="1118"/>
      <c r="Z75" s="475">
        <f t="shared" si="31"/>
        <v>0</v>
      </c>
      <c r="AA75" s="673">
        <f t="shared" si="32"/>
        <v>0</v>
      </c>
      <c r="AB75" s="1116">
        <f t="shared" si="47"/>
        <v>0</v>
      </c>
      <c r="AC75" s="718">
        <f t="shared" si="48"/>
        <v>0</v>
      </c>
      <c r="AD75" s="475">
        <f t="shared" si="49"/>
        <v>0</v>
      </c>
    </row>
    <row r="76" spans="1:30" s="1119" customFormat="1" x14ac:dyDescent="0.25">
      <c r="A76" s="1120" t="s">
        <v>742</v>
      </c>
      <c r="B76" s="1127"/>
      <c r="C76" s="1115">
        <v>38000</v>
      </c>
      <c r="D76" s="1115"/>
      <c r="E76" s="1115"/>
      <c r="F76" s="1115"/>
      <c r="G76" s="1115"/>
      <c r="H76" s="1115"/>
      <c r="I76" s="1115">
        <f>-19000</f>
        <v>-19000</v>
      </c>
      <c r="J76" s="666">
        <f t="shared" si="43"/>
        <v>19000</v>
      </c>
      <c r="K76" s="1115">
        <f t="shared" si="44"/>
        <v>19000</v>
      </c>
      <c r="L76" s="1115">
        <f t="shared" si="45"/>
        <v>19000</v>
      </c>
      <c r="M76" s="1116">
        <f t="shared" si="46"/>
        <v>19000</v>
      </c>
      <c r="N76" s="1117"/>
      <c r="O76" s="1117"/>
      <c r="P76" s="1117"/>
      <c r="Q76" s="1117">
        <v>19000</v>
      </c>
      <c r="R76" s="1117"/>
      <c r="S76" s="1117"/>
      <c r="T76" s="1117"/>
      <c r="U76" s="1117"/>
      <c r="V76" s="1117"/>
      <c r="W76" s="1118"/>
      <c r="X76" s="1118"/>
      <c r="Y76" s="1118"/>
      <c r="Z76" s="475">
        <f t="shared" si="31"/>
        <v>19000</v>
      </c>
      <c r="AA76" s="673">
        <f t="shared" si="32"/>
        <v>0</v>
      </c>
      <c r="AB76" s="1116">
        <f t="shared" si="47"/>
        <v>19000</v>
      </c>
      <c r="AC76" s="718">
        <f t="shared" si="48"/>
        <v>0</v>
      </c>
      <c r="AD76" s="475">
        <f t="shared" si="49"/>
        <v>0</v>
      </c>
    </row>
    <row r="77" spans="1:30" s="1119" customFormat="1" x14ac:dyDescent="0.25">
      <c r="A77" s="1125" t="s">
        <v>300</v>
      </c>
      <c r="B77" s="1121"/>
      <c r="C77" s="1115">
        <v>15000</v>
      </c>
      <c r="D77" s="1115"/>
      <c r="E77" s="1115"/>
      <c r="F77" s="1115"/>
      <c r="G77" s="1115"/>
      <c r="H77" s="1115"/>
      <c r="I77" s="1115"/>
      <c r="J77" s="666">
        <f t="shared" si="43"/>
        <v>15000</v>
      </c>
      <c r="K77" s="1115">
        <f t="shared" si="44"/>
        <v>15000</v>
      </c>
      <c r="L77" s="1115">
        <f t="shared" si="45"/>
        <v>15000</v>
      </c>
      <c r="M77" s="1116">
        <f t="shared" si="46"/>
        <v>15000</v>
      </c>
      <c r="N77" s="1117"/>
      <c r="O77" s="1117"/>
      <c r="P77" s="1117"/>
      <c r="Q77" s="1117"/>
      <c r="R77" s="1117">
        <v>15000</v>
      </c>
      <c r="S77" s="1117"/>
      <c r="T77" s="1117"/>
      <c r="U77" s="1117"/>
      <c r="V77" s="1117"/>
      <c r="W77" s="1118"/>
      <c r="X77" s="1118"/>
      <c r="Y77" s="1118"/>
      <c r="Z77" s="475">
        <f t="shared" si="31"/>
        <v>15000</v>
      </c>
      <c r="AA77" s="673">
        <f t="shared" si="32"/>
        <v>0</v>
      </c>
      <c r="AB77" s="1116">
        <f t="shared" si="47"/>
        <v>15000</v>
      </c>
      <c r="AC77" s="718">
        <f t="shared" si="48"/>
        <v>0</v>
      </c>
      <c r="AD77" s="475">
        <f t="shared" si="49"/>
        <v>0</v>
      </c>
    </row>
    <row r="78" spans="1:30" x14ac:dyDescent="0.25">
      <c r="A78" s="472" t="s">
        <v>337</v>
      </c>
      <c r="B78" s="472"/>
      <c r="C78" s="563">
        <f t="shared" ref="C78:AD78" si="53">SUM(C67:C77)</f>
        <v>510000</v>
      </c>
      <c r="D78" s="563">
        <f t="shared" si="53"/>
        <v>-400000</v>
      </c>
      <c r="E78" s="563">
        <f t="shared" si="53"/>
        <v>0</v>
      </c>
      <c r="F78" s="563">
        <f t="shared" si="53"/>
        <v>0</v>
      </c>
      <c r="G78" s="563">
        <f t="shared" si="53"/>
        <v>0</v>
      </c>
      <c r="H78" s="563">
        <f t="shared" si="53"/>
        <v>400000</v>
      </c>
      <c r="I78" s="563">
        <f t="shared" si="53"/>
        <v>0</v>
      </c>
      <c r="J78" s="563">
        <f t="shared" si="53"/>
        <v>510000</v>
      </c>
      <c r="K78" s="563">
        <f t="shared" si="53"/>
        <v>510000</v>
      </c>
      <c r="L78" s="563">
        <f t="shared" si="53"/>
        <v>510000</v>
      </c>
      <c r="M78" s="563">
        <f t="shared" si="53"/>
        <v>510000</v>
      </c>
      <c r="N78" s="725">
        <f t="shared" si="53"/>
        <v>0</v>
      </c>
      <c r="O78" s="725">
        <f t="shared" si="53"/>
        <v>0</v>
      </c>
      <c r="P78" s="725">
        <f t="shared" si="53"/>
        <v>0</v>
      </c>
      <c r="Q78" s="725">
        <f t="shared" si="53"/>
        <v>20900</v>
      </c>
      <c r="R78" s="725">
        <f t="shared" si="53"/>
        <v>15000</v>
      </c>
      <c r="S78" s="725">
        <f t="shared" si="53"/>
        <v>0</v>
      </c>
      <c r="T78" s="725">
        <f t="shared" si="53"/>
        <v>49000</v>
      </c>
      <c r="U78" s="725">
        <f t="shared" si="53"/>
        <v>0</v>
      </c>
      <c r="V78" s="725">
        <f t="shared" si="53"/>
        <v>0</v>
      </c>
      <c r="W78" s="563">
        <f t="shared" si="53"/>
        <v>0</v>
      </c>
      <c r="X78" s="563">
        <f t="shared" si="53"/>
        <v>0</v>
      </c>
      <c r="Y78" s="563">
        <f t="shared" si="53"/>
        <v>0</v>
      </c>
      <c r="Z78" s="563">
        <f t="shared" si="53"/>
        <v>84900</v>
      </c>
      <c r="AA78" s="563">
        <f t="shared" si="53"/>
        <v>0</v>
      </c>
      <c r="AB78" s="563">
        <f t="shared" si="53"/>
        <v>84900</v>
      </c>
      <c r="AC78" s="563">
        <f t="shared" si="53"/>
        <v>425100</v>
      </c>
      <c r="AD78" s="563">
        <f t="shared" si="53"/>
        <v>425100</v>
      </c>
    </row>
    <row r="79" spans="1:30" x14ac:dyDescent="0.25">
      <c r="A79" s="472" t="s">
        <v>119</v>
      </c>
      <c r="B79" s="472"/>
      <c r="C79" s="563">
        <f t="shared" ref="C79:AD79" si="54">C65+C78</f>
        <v>746143.13</v>
      </c>
      <c r="D79" s="563">
        <f t="shared" si="54"/>
        <v>-400000</v>
      </c>
      <c r="E79" s="563">
        <f t="shared" si="54"/>
        <v>0</v>
      </c>
      <c r="F79" s="563">
        <f t="shared" si="54"/>
        <v>0</v>
      </c>
      <c r="G79" s="563">
        <f t="shared" si="54"/>
        <v>0</v>
      </c>
      <c r="H79" s="563">
        <f t="shared" si="54"/>
        <v>400000</v>
      </c>
      <c r="I79" s="563">
        <f t="shared" si="54"/>
        <v>0</v>
      </c>
      <c r="J79" s="563">
        <f t="shared" si="54"/>
        <v>746143.13</v>
      </c>
      <c r="K79" s="563">
        <f t="shared" si="54"/>
        <v>746143.13</v>
      </c>
      <c r="L79" s="563">
        <f t="shared" si="54"/>
        <v>746143.13</v>
      </c>
      <c r="M79" s="563">
        <f t="shared" si="54"/>
        <v>746143.13</v>
      </c>
      <c r="N79" s="725">
        <f t="shared" si="54"/>
        <v>0</v>
      </c>
      <c r="O79" s="725">
        <f t="shared" si="54"/>
        <v>0</v>
      </c>
      <c r="P79" s="725">
        <f t="shared" si="54"/>
        <v>0</v>
      </c>
      <c r="Q79" s="725">
        <f t="shared" si="54"/>
        <v>20900</v>
      </c>
      <c r="R79" s="725">
        <f t="shared" si="54"/>
        <v>15000</v>
      </c>
      <c r="S79" s="725">
        <f t="shared" si="54"/>
        <v>0</v>
      </c>
      <c r="T79" s="725">
        <f t="shared" si="54"/>
        <v>49000</v>
      </c>
      <c r="U79" s="725">
        <f t="shared" si="54"/>
        <v>4151.13</v>
      </c>
      <c r="V79" s="725">
        <f t="shared" si="54"/>
        <v>0</v>
      </c>
      <c r="W79" s="563">
        <f t="shared" si="54"/>
        <v>0</v>
      </c>
      <c r="X79" s="563">
        <f t="shared" si="54"/>
        <v>0</v>
      </c>
      <c r="Y79" s="563">
        <f t="shared" si="54"/>
        <v>0</v>
      </c>
      <c r="Z79" s="563">
        <f t="shared" si="54"/>
        <v>89051.13</v>
      </c>
      <c r="AA79" s="563">
        <f t="shared" si="54"/>
        <v>0</v>
      </c>
      <c r="AB79" s="563">
        <f t="shared" si="54"/>
        <v>89051.13</v>
      </c>
      <c r="AC79" s="563">
        <f t="shared" si="54"/>
        <v>657092</v>
      </c>
      <c r="AD79" s="563">
        <f t="shared" si="54"/>
        <v>657092</v>
      </c>
    </row>
    <row r="80" spans="1:30" ht="15.75" thickBot="1" x14ac:dyDescent="0.3">
      <c r="A80" s="486" t="s">
        <v>160</v>
      </c>
      <c r="B80" s="486"/>
      <c r="C80" s="568">
        <f t="shared" ref="C80:AD80" si="55">C79+C32+C57</f>
        <v>4728214.5599999996</v>
      </c>
      <c r="D80" s="568">
        <f t="shared" si="55"/>
        <v>-88686.69</v>
      </c>
      <c r="E80" s="568">
        <f t="shared" si="55"/>
        <v>5060</v>
      </c>
      <c r="F80" s="568">
        <f t="shared" si="55"/>
        <v>-312808.96000000002</v>
      </c>
      <c r="G80" s="568">
        <f t="shared" si="55"/>
        <v>-177373.38</v>
      </c>
      <c r="H80" s="568">
        <f t="shared" si="55"/>
        <v>400000</v>
      </c>
      <c r="I80" s="568">
        <f t="shared" si="55"/>
        <v>0</v>
      </c>
      <c r="J80" s="568">
        <f t="shared" si="55"/>
        <v>4554405.5299999993</v>
      </c>
      <c r="K80" s="568">
        <f t="shared" si="55"/>
        <v>3608339.9299999997</v>
      </c>
      <c r="L80" s="568">
        <f t="shared" si="55"/>
        <v>1060831.6633333333</v>
      </c>
      <c r="M80" s="568">
        <f t="shared" si="55"/>
        <v>3899028.4633333334</v>
      </c>
      <c r="N80" s="487">
        <f t="shared" si="55"/>
        <v>181843.09</v>
      </c>
      <c r="O80" s="487">
        <f t="shared" si="55"/>
        <v>194117.25</v>
      </c>
      <c r="P80" s="487">
        <f t="shared" si="55"/>
        <v>190141.93</v>
      </c>
      <c r="Q80" s="487">
        <f t="shared" si="55"/>
        <v>214237.29</v>
      </c>
      <c r="R80" s="487">
        <f t="shared" si="55"/>
        <v>319005.48</v>
      </c>
      <c r="S80" s="487">
        <f t="shared" si="55"/>
        <v>190686.37</v>
      </c>
      <c r="T80" s="487">
        <f t="shared" si="55"/>
        <v>235470.44</v>
      </c>
      <c r="U80" s="487">
        <f t="shared" si="55"/>
        <v>205603.33000000002</v>
      </c>
      <c r="V80" s="487">
        <f t="shared" si="55"/>
        <v>202457.45</v>
      </c>
      <c r="W80" s="568">
        <f t="shared" si="55"/>
        <v>190655.33000000002</v>
      </c>
      <c r="X80" s="568">
        <f t="shared" si="55"/>
        <v>0</v>
      </c>
      <c r="Y80" s="568">
        <f t="shared" si="55"/>
        <v>0</v>
      </c>
      <c r="Z80" s="568">
        <f t="shared" si="55"/>
        <v>1933562.6299999997</v>
      </c>
      <c r="AA80" s="568">
        <f t="shared" si="55"/>
        <v>190655.33000000002</v>
      </c>
      <c r="AB80" s="568">
        <f t="shared" si="55"/>
        <v>2124217.96</v>
      </c>
      <c r="AC80" s="568">
        <f t="shared" si="55"/>
        <v>1774810.5033333336</v>
      </c>
      <c r="AD80" s="568">
        <f t="shared" si="55"/>
        <v>2398187.5700000003</v>
      </c>
    </row>
    <row r="81" spans="1:29" ht="15.75" thickTop="1" x14ac:dyDescent="0.25"/>
    <row r="82" spans="1:29" x14ac:dyDescent="0.25">
      <c r="B82" s="488"/>
      <c r="C82" s="489"/>
      <c r="D82" s="489"/>
      <c r="E82" s="489"/>
      <c r="F82" s="489"/>
      <c r="G82" s="489"/>
      <c r="H82" s="489"/>
      <c r="I82" s="489"/>
      <c r="J82" s="489"/>
      <c r="K82" s="489"/>
      <c r="L82" s="489"/>
      <c r="AC82" s="490"/>
    </row>
    <row r="83" spans="1:29" x14ac:dyDescent="0.25">
      <c r="A83" s="29" t="s">
        <v>354</v>
      </c>
      <c r="B83" s="488"/>
      <c r="C83" s="489"/>
      <c r="D83" s="489"/>
      <c r="E83" s="489"/>
      <c r="F83" s="489"/>
      <c r="G83" s="489"/>
      <c r="H83" s="489"/>
      <c r="I83" s="489"/>
      <c r="J83" s="489"/>
      <c r="K83" s="489"/>
      <c r="L83" s="489"/>
      <c r="AC83" s="490" t="s">
        <v>357</v>
      </c>
    </row>
    <row r="85" spans="1:29" x14ac:dyDescent="0.25">
      <c r="B85" s="491"/>
      <c r="C85" s="492"/>
      <c r="D85" s="492"/>
      <c r="E85" s="492"/>
      <c r="F85" s="492"/>
      <c r="G85" s="492"/>
      <c r="H85" s="492"/>
      <c r="I85" s="492"/>
      <c r="J85" s="492"/>
      <c r="K85" s="492"/>
      <c r="L85" s="492"/>
    </row>
    <row r="86" spans="1:29" x14ac:dyDescent="0.25">
      <c r="A86" s="493" t="s">
        <v>355</v>
      </c>
      <c r="B86" s="494"/>
      <c r="C86" s="495"/>
      <c r="D86" s="495"/>
      <c r="E86" s="495"/>
      <c r="F86" s="495"/>
      <c r="G86" s="495"/>
      <c r="H86" s="495"/>
      <c r="I86" s="495"/>
      <c r="J86" s="495"/>
      <c r="K86" s="495"/>
      <c r="L86" s="495"/>
      <c r="AC86" s="496" t="s">
        <v>358</v>
      </c>
    </row>
    <row r="87" spans="1:29" x14ac:dyDescent="0.25">
      <c r="A87" s="490" t="s">
        <v>356</v>
      </c>
      <c r="AC87" s="490" t="s">
        <v>359</v>
      </c>
    </row>
  </sheetData>
  <mergeCells count="3">
    <mergeCell ref="A1:AD1"/>
    <mergeCell ref="A2:AD2"/>
    <mergeCell ref="A3:AD3"/>
  </mergeCells>
  <printOptions horizontalCentered="1" verticalCentered="1" headings="1"/>
  <pageMargins left="0.95" right="0.2" top="1" bottom="0.25" header="0.3" footer="0.3"/>
  <pageSetup paperSize="5" scale="58" orientation="landscape" r:id="rId1"/>
  <rowBreaks count="1" manualBreakCount="1">
    <brk id="44" max="27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7"/>
  <sheetViews>
    <sheetView zoomScale="87" zoomScaleNormal="87" zoomScaleSheetLayoutView="55" workbookViewId="0">
      <pane xSplit="1" topLeftCell="AB1" activePane="topRight" state="frozen"/>
      <selection pane="topRight" activeCell="AC11" sqref="AC11"/>
    </sheetView>
  </sheetViews>
  <sheetFormatPr defaultRowHeight="15" outlineLevelCol="1" x14ac:dyDescent="0.25"/>
  <cols>
    <col min="1" max="1" width="86.28515625" style="29" customWidth="1"/>
    <col min="2" max="2" width="12.7109375" style="29" customWidth="1"/>
    <col min="3" max="8" width="13.42578125" style="29" customWidth="1"/>
    <col min="9" max="10" width="14.7109375" style="29" customWidth="1"/>
    <col min="11" max="11" width="12.42578125" style="29" customWidth="1"/>
    <col min="12" max="12" width="13" style="29" customWidth="1"/>
    <col min="13" max="14" width="11.28515625" style="29" customWidth="1"/>
    <col min="15" max="15" width="12.7109375" style="29" customWidth="1"/>
    <col min="16" max="16" width="12.7109375" style="2" hidden="1" customWidth="1" outlineLevel="1"/>
    <col min="17" max="17" width="12.7109375" style="29" hidden="1" customWidth="1" outlineLevel="1"/>
    <col min="18" max="18" width="12.7109375" style="708" hidden="1" customWidth="1" outlineLevel="1"/>
    <col min="19" max="19" width="15.28515625" style="708" hidden="1" customWidth="1" outlineLevel="1"/>
    <col min="20" max="21" width="12.7109375" style="708" hidden="1" customWidth="1" outlineLevel="1"/>
    <col min="22" max="22" width="16.28515625" style="708" hidden="1" customWidth="1" outlineLevel="1"/>
    <col min="23" max="23" width="14.28515625" style="708" hidden="1" customWidth="1" outlineLevel="1"/>
    <col min="24" max="24" width="12.7109375" style="708" hidden="1" customWidth="1" outlineLevel="1"/>
    <col min="25" max="25" width="15.7109375" style="29" hidden="1" customWidth="1" outlineLevel="1"/>
    <col min="26" max="27" width="12.7109375" style="29" hidden="1" customWidth="1" outlineLevel="1"/>
    <col min="28" max="28" width="16.28515625" style="2" customWidth="1" collapsed="1"/>
    <col min="29" max="31" width="12.7109375" style="29" customWidth="1"/>
    <col min="32" max="32" width="15" style="29" customWidth="1"/>
    <col min="33" max="16384" width="9.140625" style="29"/>
  </cols>
  <sheetData>
    <row r="1" spans="1:32" x14ac:dyDescent="0.25">
      <c r="A1" s="1439" t="s">
        <v>352</v>
      </c>
      <c r="B1" s="1439"/>
      <c r="C1" s="1439"/>
      <c r="D1" s="1439"/>
      <c r="E1" s="1439"/>
      <c r="F1" s="1439"/>
      <c r="G1" s="1439"/>
      <c r="H1" s="1439"/>
      <c r="I1" s="1439"/>
      <c r="J1" s="1439"/>
      <c r="K1" s="1439"/>
      <c r="L1" s="1439"/>
      <c r="M1" s="1439"/>
      <c r="N1" s="1439"/>
      <c r="O1" s="1439"/>
      <c r="P1" s="1439"/>
      <c r="Q1" s="1439"/>
      <c r="R1" s="1439"/>
      <c r="S1" s="1439"/>
      <c r="T1" s="1439"/>
      <c r="U1" s="1439"/>
      <c r="V1" s="1439"/>
      <c r="W1" s="1439"/>
      <c r="X1" s="1439"/>
      <c r="Y1" s="1439"/>
      <c r="Z1" s="1439"/>
      <c r="AA1" s="1439"/>
      <c r="AB1" s="1439"/>
      <c r="AC1" s="1439"/>
      <c r="AD1" s="1439"/>
      <c r="AE1" s="1439"/>
      <c r="AF1" s="1439"/>
    </row>
    <row r="2" spans="1:32" x14ac:dyDescent="0.25">
      <c r="A2" s="1439" t="s">
        <v>353</v>
      </c>
      <c r="B2" s="1439"/>
      <c r="C2" s="1439"/>
      <c r="D2" s="1439"/>
      <c r="E2" s="1439"/>
      <c r="F2" s="1439"/>
      <c r="G2" s="1439"/>
      <c r="H2" s="1439"/>
      <c r="I2" s="1439"/>
      <c r="J2" s="1439"/>
      <c r="K2" s="1439"/>
      <c r="L2" s="1439"/>
      <c r="M2" s="1439"/>
      <c r="N2" s="1439"/>
      <c r="O2" s="1439"/>
      <c r="P2" s="1439"/>
      <c r="Q2" s="1439"/>
      <c r="R2" s="1439"/>
      <c r="S2" s="1439"/>
      <c r="T2" s="1439"/>
      <c r="U2" s="1439"/>
      <c r="V2" s="1439"/>
      <c r="W2" s="1439"/>
      <c r="X2" s="1439"/>
      <c r="Y2" s="1439"/>
      <c r="Z2" s="1439"/>
      <c r="AA2" s="1439"/>
      <c r="AB2" s="1439"/>
      <c r="AC2" s="1439"/>
      <c r="AD2" s="1439"/>
      <c r="AE2" s="1439"/>
      <c r="AF2" s="1439"/>
    </row>
    <row r="3" spans="1:32" x14ac:dyDescent="0.25">
      <c r="A3" s="1441" t="str">
        <f>'1101-MASSO'!A3:AD3</f>
        <v>For the Period October 1-31, 2021</v>
      </c>
      <c r="B3" s="1441"/>
      <c r="C3" s="1441"/>
      <c r="D3" s="1441"/>
      <c r="E3" s="1441"/>
      <c r="F3" s="1441"/>
      <c r="G3" s="1441"/>
      <c r="H3" s="1441"/>
      <c r="I3" s="1441"/>
      <c r="J3" s="1441"/>
      <c r="K3" s="1441"/>
      <c r="L3" s="1441"/>
      <c r="M3" s="1441"/>
      <c r="N3" s="1441"/>
      <c r="O3" s="1441"/>
      <c r="P3" s="1441"/>
      <c r="Q3" s="1441"/>
      <c r="R3" s="1441"/>
      <c r="S3" s="1441"/>
      <c r="T3" s="1441"/>
      <c r="U3" s="1441"/>
      <c r="V3" s="1441"/>
      <c r="W3" s="1441"/>
      <c r="X3" s="1441"/>
      <c r="Y3" s="1441"/>
      <c r="Z3" s="1441"/>
      <c r="AA3" s="1441"/>
      <c r="AB3" s="1441"/>
      <c r="AC3" s="1441"/>
      <c r="AD3" s="1441"/>
      <c r="AE3" s="1441"/>
      <c r="AF3" s="1441"/>
    </row>
    <row r="4" spans="1:32" ht="26.25" x14ac:dyDescent="0.25">
      <c r="A4" s="463" t="s">
        <v>347</v>
      </c>
      <c r="B4" s="463" t="s">
        <v>2</v>
      </c>
      <c r="C4" s="463" t="s">
        <v>133</v>
      </c>
      <c r="D4" s="1073" t="s">
        <v>1204</v>
      </c>
      <c r="E4" s="1073" t="s">
        <v>1204</v>
      </c>
      <c r="F4" s="463" t="s">
        <v>1374</v>
      </c>
      <c r="G4" s="1073" t="s">
        <v>1204</v>
      </c>
      <c r="H4" s="1073" t="s">
        <v>1204</v>
      </c>
      <c r="I4" s="1073" t="s">
        <v>1204</v>
      </c>
      <c r="J4" s="1073" t="s">
        <v>1204</v>
      </c>
      <c r="K4" s="1073" t="s">
        <v>1227</v>
      </c>
      <c r="L4" s="463" t="s">
        <v>1</v>
      </c>
      <c r="M4" s="463" t="s">
        <v>316</v>
      </c>
      <c r="N4" s="463" t="s">
        <v>314</v>
      </c>
      <c r="O4" s="465" t="s">
        <v>346</v>
      </c>
      <c r="P4" s="519"/>
      <c r="Q4" s="519"/>
      <c r="R4" s="519"/>
      <c r="S4" s="519"/>
      <c r="T4" s="230"/>
      <c r="U4" s="230"/>
      <c r="V4" s="230"/>
      <c r="W4" s="230"/>
      <c r="X4" s="230"/>
      <c r="Y4" s="230"/>
      <c r="Z4" s="230"/>
      <c r="AA4" s="230"/>
      <c r="AB4" s="465" t="s">
        <v>316</v>
      </c>
      <c r="AC4" s="465" t="s">
        <v>348</v>
      </c>
      <c r="AD4" s="465" t="s">
        <v>1</v>
      </c>
      <c r="AE4" s="465" t="s">
        <v>131</v>
      </c>
      <c r="AF4" s="465" t="s">
        <v>131</v>
      </c>
    </row>
    <row r="5" spans="1:32" ht="15.75" thickBot="1" x14ac:dyDescent="0.3">
      <c r="A5" s="469"/>
      <c r="B5" s="469" t="s">
        <v>3</v>
      </c>
      <c r="C5" s="469" t="s">
        <v>134</v>
      </c>
      <c r="D5" s="1009" t="s">
        <v>1391</v>
      </c>
      <c r="E5" s="1009" t="s">
        <v>1405</v>
      </c>
      <c r="F5" s="1272">
        <v>44459</v>
      </c>
      <c r="G5" s="1009" t="s">
        <v>1352</v>
      </c>
      <c r="H5" s="1009" t="s">
        <v>1354</v>
      </c>
      <c r="I5" s="1009" t="s">
        <v>1209</v>
      </c>
      <c r="J5" s="1009" t="s">
        <v>1345</v>
      </c>
      <c r="K5" s="1101">
        <v>44305</v>
      </c>
      <c r="L5" s="469" t="s">
        <v>314</v>
      </c>
      <c r="M5" s="469" t="s">
        <v>314</v>
      </c>
      <c r="N5" s="469" t="s">
        <v>315</v>
      </c>
      <c r="O5" s="470" t="s">
        <v>315</v>
      </c>
      <c r="P5" s="470" t="s">
        <v>0</v>
      </c>
      <c r="Q5" s="470" t="s">
        <v>120</v>
      </c>
      <c r="R5" s="470" t="s">
        <v>121</v>
      </c>
      <c r="S5" s="470" t="s">
        <v>122</v>
      </c>
      <c r="T5" s="470" t="s">
        <v>123</v>
      </c>
      <c r="U5" s="470" t="s">
        <v>124</v>
      </c>
      <c r="V5" s="470" t="s">
        <v>125</v>
      </c>
      <c r="W5" s="470" t="s">
        <v>126</v>
      </c>
      <c r="X5" s="470" t="s">
        <v>127</v>
      </c>
      <c r="Y5" s="470" t="s">
        <v>128</v>
      </c>
      <c r="Z5" s="470" t="s">
        <v>129</v>
      </c>
      <c r="AA5" s="470" t="s">
        <v>130</v>
      </c>
      <c r="AB5" s="470" t="s">
        <v>317</v>
      </c>
      <c r="AC5" s="470" t="s">
        <v>315</v>
      </c>
      <c r="AD5" s="470" t="s">
        <v>317</v>
      </c>
      <c r="AE5" s="470" t="s">
        <v>314</v>
      </c>
      <c r="AF5" s="470" t="s">
        <v>132</v>
      </c>
    </row>
    <row r="6" spans="1:32" ht="15.75" thickTop="1" x14ac:dyDescent="0.25">
      <c r="A6" s="444" t="s">
        <v>757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7"/>
      <c r="Q6" s="268"/>
      <c r="R6" s="267"/>
      <c r="S6" s="267"/>
      <c r="T6" s="267"/>
      <c r="U6" s="267"/>
      <c r="V6" s="267"/>
      <c r="W6" s="267"/>
      <c r="X6" s="267"/>
      <c r="Y6" s="268"/>
      <c r="Z6" s="268"/>
      <c r="AA6" s="268"/>
      <c r="AB6" s="267"/>
      <c r="AC6" s="268"/>
      <c r="AD6" s="268"/>
      <c r="AE6" s="268"/>
      <c r="AF6" s="268"/>
    </row>
    <row r="7" spans="1:32" x14ac:dyDescent="0.25">
      <c r="A7" s="77" t="s">
        <v>712</v>
      </c>
      <c r="B7" s="570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99"/>
      <c r="P7" s="90"/>
      <c r="Q7" s="99"/>
      <c r="R7" s="673"/>
      <c r="S7" s="673"/>
      <c r="T7" s="673"/>
      <c r="U7" s="673"/>
      <c r="V7" s="673"/>
      <c r="W7" s="673"/>
      <c r="X7" s="673"/>
      <c r="Y7" s="99"/>
      <c r="Z7" s="99"/>
      <c r="AA7" s="99"/>
      <c r="AB7" s="90"/>
      <c r="AC7" s="99"/>
      <c r="AD7" s="43"/>
      <c r="AE7" s="43"/>
      <c r="AF7" s="99"/>
    </row>
    <row r="8" spans="1:32" x14ac:dyDescent="0.25">
      <c r="A8" s="571" t="s">
        <v>659</v>
      </c>
      <c r="B8" s="214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>
        <f>L8/12</f>
        <v>0</v>
      </c>
      <c r="O8" s="43">
        <f>SUM(B8:N8)</f>
        <v>0</v>
      </c>
      <c r="P8" s="90"/>
      <c r="Q8" s="99"/>
      <c r="R8" s="673"/>
      <c r="S8" s="673"/>
      <c r="T8" s="673"/>
      <c r="U8" s="673"/>
      <c r="V8" s="673"/>
      <c r="W8" s="673"/>
      <c r="X8" s="673"/>
      <c r="Y8" s="99"/>
      <c r="Z8" s="99"/>
      <c r="AA8" s="99"/>
      <c r="AB8" s="90"/>
      <c r="AC8" s="90"/>
      <c r="AD8" s="43"/>
      <c r="AE8" s="43"/>
      <c r="AF8" s="475"/>
    </row>
    <row r="9" spans="1:32" x14ac:dyDescent="0.25">
      <c r="A9" s="550" t="s">
        <v>758</v>
      </c>
      <c r="B9" s="476" t="s">
        <v>6</v>
      </c>
      <c r="C9" s="58">
        <v>3666413</v>
      </c>
      <c r="D9" s="666"/>
      <c r="E9" s="666"/>
      <c r="F9" s="666">
        <v>21637</v>
      </c>
      <c r="G9" s="666"/>
      <c r="H9" s="666"/>
      <c r="I9" s="666"/>
      <c r="J9" s="666"/>
      <c r="K9" s="666"/>
      <c r="L9" s="151">
        <f t="shared" ref="L9:L32" si="0">SUM(C9:K9)</f>
        <v>3688050</v>
      </c>
      <c r="M9" s="151">
        <f>L9/12*9</f>
        <v>2766037.5</v>
      </c>
      <c r="N9" s="151">
        <f t="shared" ref="N9:N26" si="1">L9/12</f>
        <v>307337.5</v>
      </c>
      <c r="O9" s="43">
        <f>M9+N9</f>
        <v>3073375</v>
      </c>
      <c r="P9" s="90">
        <v>291035</v>
      </c>
      <c r="Q9" s="673">
        <v>291035</v>
      </c>
      <c r="R9" s="673">
        <v>291095</v>
      </c>
      <c r="S9" s="673">
        <v>346703.5</v>
      </c>
      <c r="T9" s="673">
        <v>305271</v>
      </c>
      <c r="U9" s="673">
        <v>305271</v>
      </c>
      <c r="V9" s="673">
        <v>305271</v>
      </c>
      <c r="W9" s="673">
        <v>305421.73</v>
      </c>
      <c r="X9" s="673">
        <v>305828.15999999997</v>
      </c>
      <c r="Y9" s="673">
        <v>305847</v>
      </c>
      <c r="Z9" s="99"/>
      <c r="AA9" s="99"/>
      <c r="AB9" s="90">
        <f>P9+Q9+R9+S9+T9+U9+V9+W9+X9</f>
        <v>2746931.39</v>
      </c>
      <c r="AC9" s="90">
        <f>Y9</f>
        <v>305847</v>
      </c>
      <c r="AD9" s="43">
        <f t="shared" ref="AD9:AD32" si="2">AB9+AC9</f>
        <v>3052778.39</v>
      </c>
      <c r="AE9" s="43">
        <f>O9-AD9</f>
        <v>20596.60999999987</v>
      </c>
      <c r="AF9" s="475">
        <f>L9-AD9</f>
        <v>635271.60999999987</v>
      </c>
    </row>
    <row r="10" spans="1:32" x14ac:dyDescent="0.25">
      <c r="A10" s="571" t="s">
        <v>661</v>
      </c>
      <c r="B10" s="476"/>
      <c r="C10" s="58"/>
      <c r="D10" s="666"/>
      <c r="E10" s="666"/>
      <c r="F10" s="666"/>
      <c r="G10" s="666"/>
      <c r="H10" s="666"/>
      <c r="I10" s="666"/>
      <c r="J10" s="666"/>
      <c r="K10" s="666"/>
      <c r="L10" s="151">
        <f t="shared" si="0"/>
        <v>0</v>
      </c>
      <c r="M10" s="151">
        <f t="shared" ref="M10:M32" si="3">L10/12*9</f>
        <v>0</v>
      </c>
      <c r="N10" s="151">
        <f t="shared" si="1"/>
        <v>0</v>
      </c>
      <c r="O10" s="43">
        <f t="shared" ref="O10:O26" si="4">M10+N10</f>
        <v>0</v>
      </c>
      <c r="P10" s="90"/>
      <c r="Q10" s="673"/>
      <c r="R10" s="673"/>
      <c r="S10" s="673"/>
      <c r="T10" s="673"/>
      <c r="U10" s="673"/>
      <c r="V10" s="673"/>
      <c r="W10" s="673"/>
      <c r="X10" s="673"/>
      <c r="Y10" s="99"/>
      <c r="Z10" s="99"/>
      <c r="AA10" s="99"/>
      <c r="AB10" s="673">
        <f t="shared" ref="AB10:AB32" si="5">P10+Q10+R10+S10+T10+U10+V10+W10+X10</f>
        <v>0</v>
      </c>
      <c r="AC10" s="673">
        <f t="shared" ref="AC10:AC32" si="6">Y10</f>
        <v>0</v>
      </c>
      <c r="AD10" s="718">
        <f t="shared" si="2"/>
        <v>0</v>
      </c>
      <c r="AE10" s="718">
        <f t="shared" ref="AE10:AE32" si="7">O10-AD10</f>
        <v>0</v>
      </c>
      <c r="AF10" s="475">
        <f t="shared" ref="AF10:AF32" si="8">L10-AD10</f>
        <v>0</v>
      </c>
    </row>
    <row r="11" spans="1:32" x14ac:dyDescent="0.25">
      <c r="A11" s="550" t="s">
        <v>662</v>
      </c>
      <c r="B11" s="168" t="s">
        <v>11</v>
      </c>
      <c r="C11" s="58">
        <v>240000</v>
      </c>
      <c r="D11" s="666"/>
      <c r="E11" s="666"/>
      <c r="F11" s="666"/>
      <c r="G11" s="666"/>
      <c r="H11" s="666"/>
      <c r="I11" s="666"/>
      <c r="J11" s="666"/>
      <c r="K11" s="666"/>
      <c r="L11" s="151">
        <f t="shared" si="0"/>
        <v>240000</v>
      </c>
      <c r="M11" s="151">
        <f t="shared" si="3"/>
        <v>180000</v>
      </c>
      <c r="N11" s="151">
        <f t="shared" si="1"/>
        <v>20000</v>
      </c>
      <c r="O11" s="43">
        <f t="shared" si="4"/>
        <v>200000</v>
      </c>
      <c r="P11" s="90">
        <v>20000</v>
      </c>
      <c r="Q11" s="673">
        <v>20000</v>
      </c>
      <c r="R11" s="673">
        <v>20000</v>
      </c>
      <c r="S11" s="673">
        <v>20000</v>
      </c>
      <c r="T11" s="673">
        <v>20000</v>
      </c>
      <c r="U11" s="673">
        <v>20000</v>
      </c>
      <c r="V11" s="673">
        <v>20000</v>
      </c>
      <c r="W11" s="673">
        <v>20000</v>
      </c>
      <c r="X11" s="673">
        <v>20000</v>
      </c>
      <c r="Y11" s="673">
        <v>20000</v>
      </c>
      <c r="Z11" s="99"/>
      <c r="AA11" s="99"/>
      <c r="AB11" s="673">
        <f t="shared" si="5"/>
        <v>180000</v>
      </c>
      <c r="AC11" s="673">
        <f t="shared" si="6"/>
        <v>20000</v>
      </c>
      <c r="AD11" s="718">
        <f t="shared" si="2"/>
        <v>200000</v>
      </c>
      <c r="AE11" s="718">
        <f t="shared" si="7"/>
        <v>0</v>
      </c>
      <c r="AF11" s="475">
        <f t="shared" si="8"/>
        <v>40000</v>
      </c>
    </row>
    <row r="12" spans="1:32" x14ac:dyDescent="0.25">
      <c r="A12" s="550" t="s">
        <v>663</v>
      </c>
      <c r="B12" s="476" t="s">
        <v>13</v>
      </c>
      <c r="C12" s="58">
        <v>72000</v>
      </c>
      <c r="D12" s="666"/>
      <c r="E12" s="666"/>
      <c r="F12" s="666"/>
      <c r="G12" s="666"/>
      <c r="H12" s="666"/>
      <c r="I12" s="666"/>
      <c r="J12" s="666"/>
      <c r="K12" s="666"/>
      <c r="L12" s="151">
        <f t="shared" si="0"/>
        <v>72000</v>
      </c>
      <c r="M12" s="151">
        <f t="shared" si="3"/>
        <v>54000</v>
      </c>
      <c r="N12" s="151">
        <f t="shared" si="1"/>
        <v>6000</v>
      </c>
      <c r="O12" s="43">
        <f t="shared" si="4"/>
        <v>60000</v>
      </c>
      <c r="P12" s="90">
        <v>6000</v>
      </c>
      <c r="Q12" s="673">
        <v>6000</v>
      </c>
      <c r="R12" s="673">
        <v>6000</v>
      </c>
      <c r="S12" s="673">
        <v>6000</v>
      </c>
      <c r="T12" s="673">
        <v>6000</v>
      </c>
      <c r="U12" s="673">
        <v>6000</v>
      </c>
      <c r="V12" s="673">
        <v>6000</v>
      </c>
      <c r="W12" s="673">
        <v>6000</v>
      </c>
      <c r="X12" s="673">
        <v>6000</v>
      </c>
      <c r="Y12" s="673">
        <v>6000</v>
      </c>
      <c r="Z12" s="99"/>
      <c r="AA12" s="99"/>
      <c r="AB12" s="673">
        <f t="shared" si="5"/>
        <v>54000</v>
      </c>
      <c r="AC12" s="673">
        <f t="shared" si="6"/>
        <v>6000</v>
      </c>
      <c r="AD12" s="718">
        <f t="shared" si="2"/>
        <v>60000</v>
      </c>
      <c r="AE12" s="718">
        <f t="shared" si="7"/>
        <v>0</v>
      </c>
      <c r="AF12" s="475">
        <f t="shared" si="8"/>
        <v>12000</v>
      </c>
    </row>
    <row r="13" spans="1:32" x14ac:dyDescent="0.25">
      <c r="A13" s="550" t="s">
        <v>664</v>
      </c>
      <c r="B13" s="477" t="s">
        <v>15</v>
      </c>
      <c r="C13" s="58">
        <v>72000</v>
      </c>
      <c r="D13" s="666"/>
      <c r="E13" s="666"/>
      <c r="F13" s="666"/>
      <c r="G13" s="666"/>
      <c r="H13" s="666"/>
      <c r="I13" s="666"/>
      <c r="J13" s="666"/>
      <c r="K13" s="666"/>
      <c r="L13" s="151">
        <f t="shared" si="0"/>
        <v>72000</v>
      </c>
      <c r="M13" s="151">
        <f t="shared" si="3"/>
        <v>54000</v>
      </c>
      <c r="N13" s="151">
        <f t="shared" ref="N13:N18" si="9">L13/12</f>
        <v>6000</v>
      </c>
      <c r="O13" s="718">
        <f t="shared" ref="O13:O18" si="10">M13+N13</f>
        <v>60000</v>
      </c>
      <c r="P13" s="90">
        <v>6000</v>
      </c>
      <c r="Q13" s="673">
        <v>6000</v>
      </c>
      <c r="R13" s="673">
        <v>6000</v>
      </c>
      <c r="S13" s="673">
        <v>6000</v>
      </c>
      <c r="T13" s="673">
        <v>6000</v>
      </c>
      <c r="U13" s="673">
        <v>6000</v>
      </c>
      <c r="V13" s="673">
        <v>6000</v>
      </c>
      <c r="W13" s="673">
        <v>6000</v>
      </c>
      <c r="X13" s="673">
        <v>6000</v>
      </c>
      <c r="Y13" s="673">
        <v>6000</v>
      </c>
      <c r="Z13" s="99"/>
      <c r="AA13" s="99"/>
      <c r="AB13" s="673">
        <f t="shared" si="5"/>
        <v>54000</v>
      </c>
      <c r="AC13" s="673">
        <f t="shared" si="6"/>
        <v>6000</v>
      </c>
      <c r="AD13" s="718">
        <f t="shared" si="2"/>
        <v>60000</v>
      </c>
      <c r="AE13" s="718">
        <f t="shared" si="7"/>
        <v>0</v>
      </c>
      <c r="AF13" s="475">
        <f t="shared" si="8"/>
        <v>12000</v>
      </c>
    </row>
    <row r="14" spans="1:32" x14ac:dyDescent="0.25">
      <c r="A14" s="550" t="s">
        <v>665</v>
      </c>
      <c r="B14" s="168" t="s">
        <v>17</v>
      </c>
      <c r="C14" s="58">
        <v>60000</v>
      </c>
      <c r="D14" s="666"/>
      <c r="E14" s="666"/>
      <c r="F14" s="666"/>
      <c r="G14" s="666"/>
      <c r="H14" s="666"/>
      <c r="I14" s="666"/>
      <c r="J14" s="666"/>
      <c r="K14" s="666"/>
      <c r="L14" s="151">
        <f t="shared" si="0"/>
        <v>60000</v>
      </c>
      <c r="M14" s="151">
        <f>L14/12*11</f>
        <v>55000</v>
      </c>
      <c r="N14" s="151">
        <f t="shared" si="9"/>
        <v>5000</v>
      </c>
      <c r="O14" s="718">
        <f t="shared" si="10"/>
        <v>60000</v>
      </c>
      <c r="P14" s="90">
        <v>40000</v>
      </c>
      <c r="Q14" s="99"/>
      <c r="R14" s="673"/>
      <c r="S14" s="673"/>
      <c r="T14" s="673"/>
      <c r="U14" s="673"/>
      <c r="V14" s="673"/>
      <c r="W14" s="673"/>
      <c r="X14" s="673"/>
      <c r="Y14" s="673">
        <v>8250</v>
      </c>
      <c r="Z14" s="99"/>
      <c r="AA14" s="99"/>
      <c r="AB14" s="673">
        <f t="shared" si="5"/>
        <v>40000</v>
      </c>
      <c r="AC14" s="673">
        <f t="shared" si="6"/>
        <v>8250</v>
      </c>
      <c r="AD14" s="718">
        <f t="shared" si="2"/>
        <v>48250</v>
      </c>
      <c r="AE14" s="718">
        <f t="shared" si="7"/>
        <v>11750</v>
      </c>
      <c r="AF14" s="475">
        <f t="shared" si="8"/>
        <v>11750</v>
      </c>
    </row>
    <row r="15" spans="1:32" x14ac:dyDescent="0.25">
      <c r="A15" s="550" t="s">
        <v>759</v>
      </c>
      <c r="B15" s="168" t="s">
        <v>276</v>
      </c>
      <c r="C15" s="58">
        <v>123000</v>
      </c>
      <c r="D15" s="666"/>
      <c r="E15" s="666"/>
      <c r="F15" s="666"/>
      <c r="G15" s="666"/>
      <c r="H15" s="666"/>
      <c r="I15" s="666"/>
      <c r="J15" s="666"/>
      <c r="K15" s="666"/>
      <c r="L15" s="151">
        <f t="shared" si="0"/>
        <v>123000</v>
      </c>
      <c r="M15" s="151">
        <f t="shared" si="3"/>
        <v>92250</v>
      </c>
      <c r="N15" s="151">
        <f t="shared" si="9"/>
        <v>10250</v>
      </c>
      <c r="O15" s="718">
        <f t="shared" si="10"/>
        <v>102500</v>
      </c>
      <c r="P15" s="90">
        <v>10250</v>
      </c>
      <c r="Q15" s="673">
        <v>10250</v>
      </c>
      <c r="R15" s="673">
        <v>10250</v>
      </c>
      <c r="S15" s="708">
        <v>10250</v>
      </c>
      <c r="T15" s="673">
        <v>10250</v>
      </c>
      <c r="U15" s="673">
        <v>10250</v>
      </c>
      <c r="V15" s="673">
        <v>10250</v>
      </c>
      <c r="W15" s="673">
        <v>10250</v>
      </c>
      <c r="X15" s="673">
        <v>10250</v>
      </c>
      <c r="Y15" s="673">
        <v>10250</v>
      </c>
      <c r="Z15" s="99"/>
      <c r="AA15" s="99"/>
      <c r="AB15" s="673">
        <f t="shared" si="5"/>
        <v>92250</v>
      </c>
      <c r="AC15" s="673">
        <f t="shared" si="6"/>
        <v>10250</v>
      </c>
      <c r="AD15" s="718">
        <f t="shared" si="2"/>
        <v>102500</v>
      </c>
      <c r="AE15" s="718">
        <f t="shared" si="7"/>
        <v>0</v>
      </c>
      <c r="AF15" s="475">
        <f t="shared" si="8"/>
        <v>20500</v>
      </c>
    </row>
    <row r="16" spans="1:32" x14ac:dyDescent="0.25">
      <c r="A16" s="550" t="s">
        <v>760</v>
      </c>
      <c r="B16" s="168" t="s">
        <v>764</v>
      </c>
      <c r="C16" s="58">
        <v>36000</v>
      </c>
      <c r="D16" s="666"/>
      <c r="E16" s="666"/>
      <c r="F16" s="666"/>
      <c r="G16" s="666"/>
      <c r="H16" s="666"/>
      <c r="I16" s="666"/>
      <c r="J16" s="666"/>
      <c r="K16" s="666"/>
      <c r="L16" s="151">
        <f t="shared" si="0"/>
        <v>36000</v>
      </c>
      <c r="M16" s="151">
        <f t="shared" si="3"/>
        <v>27000</v>
      </c>
      <c r="N16" s="151">
        <f t="shared" si="9"/>
        <v>3000</v>
      </c>
      <c r="O16" s="718">
        <f t="shared" si="10"/>
        <v>30000</v>
      </c>
      <c r="P16" s="90">
        <v>3000</v>
      </c>
      <c r="Q16" s="673">
        <v>3000</v>
      </c>
      <c r="R16" s="673">
        <v>3000</v>
      </c>
      <c r="S16" s="673">
        <v>3000</v>
      </c>
      <c r="T16" s="673">
        <v>3000</v>
      </c>
      <c r="U16" s="673">
        <v>3000</v>
      </c>
      <c r="V16" s="673">
        <v>3000</v>
      </c>
      <c r="W16" s="673">
        <v>3000</v>
      </c>
      <c r="X16" s="673">
        <v>3000</v>
      </c>
      <c r="Y16" s="673">
        <v>3000</v>
      </c>
      <c r="Z16" s="99"/>
      <c r="AA16" s="99"/>
      <c r="AB16" s="673">
        <f t="shared" si="5"/>
        <v>27000</v>
      </c>
      <c r="AC16" s="673">
        <f t="shared" si="6"/>
        <v>3000</v>
      </c>
      <c r="AD16" s="718">
        <f t="shared" si="2"/>
        <v>30000</v>
      </c>
      <c r="AE16" s="718">
        <f t="shared" si="7"/>
        <v>0</v>
      </c>
      <c r="AF16" s="475">
        <f t="shared" si="8"/>
        <v>6000</v>
      </c>
    </row>
    <row r="17" spans="1:32" x14ac:dyDescent="0.25">
      <c r="A17" s="550" t="s">
        <v>761</v>
      </c>
      <c r="B17" s="168" t="s">
        <v>21</v>
      </c>
      <c r="C17" s="58">
        <v>757703</v>
      </c>
      <c r="D17" s="666"/>
      <c r="E17" s="666"/>
      <c r="F17" s="666">
        <v>5409.25</v>
      </c>
      <c r="G17" s="666"/>
      <c r="H17" s="666"/>
      <c r="I17" s="666"/>
      <c r="J17" s="666"/>
      <c r="K17" s="666"/>
      <c r="L17" s="151">
        <f t="shared" si="0"/>
        <v>763112.25</v>
      </c>
      <c r="M17" s="151">
        <f t="shared" si="3"/>
        <v>572334.1875</v>
      </c>
      <c r="N17" s="151">
        <f t="shared" si="9"/>
        <v>63592.6875</v>
      </c>
      <c r="O17" s="718">
        <f t="shared" si="10"/>
        <v>635926.875</v>
      </c>
      <c r="P17" s="795">
        <v>59789.45</v>
      </c>
      <c r="Q17" s="1069">
        <v>59789.45</v>
      </c>
      <c r="R17" s="673">
        <v>59804.45</v>
      </c>
      <c r="S17" s="673">
        <v>63094.05</v>
      </c>
      <c r="T17" s="673">
        <v>63094.05</v>
      </c>
      <c r="U17" s="673">
        <v>63094.05</v>
      </c>
      <c r="V17" s="673">
        <v>63094.05</v>
      </c>
      <c r="W17" s="673">
        <v>63131.73</v>
      </c>
      <c r="X17" s="673">
        <v>63233.34</v>
      </c>
      <c r="Y17" s="673">
        <v>63238.05</v>
      </c>
      <c r="Z17" s="99"/>
      <c r="AA17" s="99"/>
      <c r="AB17" s="673">
        <f t="shared" si="5"/>
        <v>558124.61999999988</v>
      </c>
      <c r="AC17" s="673">
        <f t="shared" si="6"/>
        <v>63238.05</v>
      </c>
      <c r="AD17" s="718">
        <f t="shared" si="2"/>
        <v>621362.66999999993</v>
      </c>
      <c r="AE17" s="718">
        <f t="shared" si="7"/>
        <v>14564.205000000075</v>
      </c>
      <c r="AF17" s="475">
        <f t="shared" si="8"/>
        <v>141749.58000000007</v>
      </c>
    </row>
    <row r="18" spans="1:32" x14ac:dyDescent="0.25">
      <c r="A18" s="550" t="s">
        <v>667</v>
      </c>
      <c r="B18" s="476" t="s">
        <v>23</v>
      </c>
      <c r="C18" s="58">
        <v>305847</v>
      </c>
      <c r="D18" s="666"/>
      <c r="E18" s="666"/>
      <c r="F18" s="666">
        <v>3091</v>
      </c>
      <c r="G18" s="666"/>
      <c r="H18" s="666"/>
      <c r="I18" s="666"/>
      <c r="J18" s="666"/>
      <c r="K18" s="666"/>
      <c r="L18" s="151">
        <f t="shared" si="0"/>
        <v>308938</v>
      </c>
      <c r="M18" s="151">
        <f t="shared" si="3"/>
        <v>231703.5</v>
      </c>
      <c r="N18" s="151">
        <f t="shared" si="9"/>
        <v>25744.833333333332</v>
      </c>
      <c r="O18" s="718">
        <f t="shared" si="10"/>
        <v>257448.33333333334</v>
      </c>
      <c r="P18" s="90"/>
      <c r="Q18" s="99"/>
      <c r="R18" s="673"/>
      <c r="S18" s="673"/>
      <c r="T18" s="673"/>
      <c r="U18" s="673"/>
      <c r="V18" s="673"/>
      <c r="W18" s="673"/>
      <c r="X18" s="673"/>
      <c r="Y18" s="99"/>
      <c r="Z18" s="99"/>
      <c r="AA18" s="99"/>
      <c r="AB18" s="673">
        <f t="shared" si="5"/>
        <v>0</v>
      </c>
      <c r="AC18" s="673">
        <f t="shared" si="6"/>
        <v>0</v>
      </c>
      <c r="AD18" s="718">
        <f t="shared" si="2"/>
        <v>0</v>
      </c>
      <c r="AE18" s="718">
        <f t="shared" si="7"/>
        <v>257448.33333333334</v>
      </c>
      <c r="AF18" s="475">
        <f t="shared" si="8"/>
        <v>308938</v>
      </c>
    </row>
    <row r="19" spans="1:32" x14ac:dyDescent="0.25">
      <c r="A19" s="550" t="s">
        <v>668</v>
      </c>
      <c r="B19" s="476" t="s">
        <v>26</v>
      </c>
      <c r="C19" s="58">
        <v>50000</v>
      </c>
      <c r="D19" s="666"/>
      <c r="E19" s="666"/>
      <c r="F19" s="666"/>
      <c r="G19" s="666"/>
      <c r="H19" s="666"/>
      <c r="I19" s="666"/>
      <c r="J19" s="666"/>
      <c r="K19" s="666"/>
      <c r="L19" s="151">
        <f t="shared" si="0"/>
        <v>50000</v>
      </c>
      <c r="M19" s="151">
        <f t="shared" si="3"/>
        <v>37500</v>
      </c>
      <c r="N19" s="151">
        <f t="shared" si="1"/>
        <v>4166.666666666667</v>
      </c>
      <c r="O19" s="43">
        <f t="shared" si="4"/>
        <v>41666.666666666664</v>
      </c>
      <c r="P19" s="90"/>
      <c r="Q19" s="99"/>
      <c r="R19" s="673"/>
      <c r="S19" s="673"/>
      <c r="T19" s="673"/>
      <c r="U19" s="673"/>
      <c r="V19" s="673"/>
      <c r="W19" s="673"/>
      <c r="X19" s="673"/>
      <c r="Y19" s="99"/>
      <c r="Z19" s="99"/>
      <c r="AA19" s="99"/>
      <c r="AB19" s="673">
        <f t="shared" si="5"/>
        <v>0</v>
      </c>
      <c r="AC19" s="673">
        <f t="shared" si="6"/>
        <v>0</v>
      </c>
      <c r="AD19" s="718">
        <f t="shared" si="2"/>
        <v>0</v>
      </c>
      <c r="AE19" s="718">
        <f t="shared" si="7"/>
        <v>41666.666666666664</v>
      </c>
      <c r="AF19" s="475">
        <f t="shared" si="8"/>
        <v>50000</v>
      </c>
    </row>
    <row r="20" spans="1:32" x14ac:dyDescent="0.25">
      <c r="A20" s="550" t="s">
        <v>669</v>
      </c>
      <c r="B20" s="476" t="s">
        <v>27</v>
      </c>
      <c r="C20" s="58"/>
      <c r="D20" s="666"/>
      <c r="E20" s="666"/>
      <c r="F20" s="666"/>
      <c r="G20" s="666"/>
      <c r="H20" s="666"/>
      <c r="I20" s="666"/>
      <c r="J20" s="666"/>
      <c r="K20" s="666"/>
      <c r="L20" s="151">
        <f t="shared" si="0"/>
        <v>0</v>
      </c>
      <c r="M20" s="151">
        <f t="shared" si="3"/>
        <v>0</v>
      </c>
      <c r="N20" s="151">
        <f t="shared" si="1"/>
        <v>0</v>
      </c>
      <c r="O20" s="43">
        <f t="shared" si="4"/>
        <v>0</v>
      </c>
      <c r="P20" s="90"/>
      <c r="Q20" s="99"/>
      <c r="R20" s="673"/>
      <c r="S20" s="673"/>
      <c r="T20" s="673"/>
      <c r="U20" s="673"/>
      <c r="V20" s="673"/>
      <c r="W20" s="673"/>
      <c r="X20" s="673"/>
      <c r="Y20" s="99"/>
      <c r="Z20" s="99"/>
      <c r="AA20" s="99"/>
      <c r="AB20" s="673">
        <f t="shared" si="5"/>
        <v>0</v>
      </c>
      <c r="AC20" s="673">
        <f t="shared" si="6"/>
        <v>0</v>
      </c>
      <c r="AD20" s="718">
        <f t="shared" si="2"/>
        <v>0</v>
      </c>
      <c r="AE20" s="718">
        <f t="shared" si="7"/>
        <v>0</v>
      </c>
      <c r="AF20" s="475">
        <f t="shared" si="8"/>
        <v>0</v>
      </c>
    </row>
    <row r="21" spans="1:32" x14ac:dyDescent="0.25">
      <c r="A21" s="429" t="s">
        <v>670</v>
      </c>
      <c r="B21" s="543"/>
      <c r="C21" s="58">
        <v>305271</v>
      </c>
      <c r="D21" s="666"/>
      <c r="E21" s="666"/>
      <c r="F21" s="666"/>
      <c r="G21" s="666"/>
      <c r="H21" s="666"/>
      <c r="I21" s="666"/>
      <c r="J21" s="666"/>
      <c r="K21" s="666"/>
      <c r="L21" s="151">
        <f t="shared" si="0"/>
        <v>305271</v>
      </c>
      <c r="M21" s="151">
        <f t="shared" si="3"/>
        <v>228953.25</v>
      </c>
      <c r="N21" s="151">
        <f t="shared" si="1"/>
        <v>25439.25</v>
      </c>
      <c r="O21" s="43">
        <f t="shared" si="4"/>
        <v>254392.5</v>
      </c>
      <c r="P21" s="90"/>
      <c r="Q21" s="99"/>
      <c r="R21" s="673"/>
      <c r="S21" s="673"/>
      <c r="T21" s="673">
        <v>305271</v>
      </c>
      <c r="U21" s="673"/>
      <c r="V21" s="673"/>
      <c r="W21" s="673"/>
      <c r="X21" s="673"/>
      <c r="Y21" s="99"/>
      <c r="Z21" s="99"/>
      <c r="AA21" s="99"/>
      <c r="AB21" s="673">
        <f t="shared" si="5"/>
        <v>305271</v>
      </c>
      <c r="AC21" s="673">
        <f t="shared" si="6"/>
        <v>0</v>
      </c>
      <c r="AD21" s="718">
        <f t="shared" si="2"/>
        <v>305271</v>
      </c>
      <c r="AE21" s="718">
        <f t="shared" si="7"/>
        <v>-50878.5</v>
      </c>
      <c r="AF21" s="475">
        <f t="shared" si="8"/>
        <v>0</v>
      </c>
    </row>
    <row r="22" spans="1:32" x14ac:dyDescent="0.25">
      <c r="A22" s="429" t="s">
        <v>671</v>
      </c>
      <c r="B22" s="46"/>
      <c r="C22" s="58">
        <v>50000</v>
      </c>
      <c r="D22" s="666"/>
      <c r="E22" s="666"/>
      <c r="F22" s="666"/>
      <c r="G22" s="666"/>
      <c r="H22" s="666"/>
      <c r="I22" s="666"/>
      <c r="J22" s="666"/>
      <c r="K22" s="666"/>
      <c r="L22" s="151">
        <f t="shared" si="0"/>
        <v>50000</v>
      </c>
      <c r="M22" s="151">
        <f t="shared" si="3"/>
        <v>37500</v>
      </c>
      <c r="N22" s="151">
        <f t="shared" si="1"/>
        <v>4166.666666666667</v>
      </c>
      <c r="O22" s="43">
        <f t="shared" si="4"/>
        <v>41666.666666666664</v>
      </c>
      <c r="P22" s="90"/>
      <c r="Q22" s="99"/>
      <c r="R22" s="673"/>
      <c r="S22" s="673"/>
      <c r="T22" s="673"/>
      <c r="U22" s="673"/>
      <c r="V22" s="673"/>
      <c r="W22" s="673"/>
      <c r="X22" s="673"/>
      <c r="Y22" s="99"/>
      <c r="Z22" s="99"/>
      <c r="AA22" s="99"/>
      <c r="AB22" s="673">
        <f t="shared" si="5"/>
        <v>0</v>
      </c>
      <c r="AC22" s="673">
        <f t="shared" si="6"/>
        <v>0</v>
      </c>
      <c r="AD22" s="718">
        <f t="shared" si="2"/>
        <v>0</v>
      </c>
      <c r="AE22" s="718">
        <f t="shared" si="7"/>
        <v>41666.666666666664</v>
      </c>
      <c r="AF22" s="475">
        <f t="shared" si="8"/>
        <v>50000</v>
      </c>
    </row>
    <row r="23" spans="1:32" x14ac:dyDescent="0.25">
      <c r="A23" s="429" t="s">
        <v>762</v>
      </c>
      <c r="B23" s="46"/>
      <c r="C23" s="58"/>
      <c r="D23" s="666"/>
      <c r="E23" s="666"/>
      <c r="F23" s="666"/>
      <c r="G23" s="666"/>
      <c r="H23" s="666"/>
      <c r="I23" s="666"/>
      <c r="J23" s="666"/>
      <c r="K23" s="666"/>
      <c r="L23" s="151">
        <f t="shared" si="0"/>
        <v>0</v>
      </c>
      <c r="M23" s="151">
        <f t="shared" si="3"/>
        <v>0</v>
      </c>
      <c r="N23" s="151">
        <f t="shared" si="1"/>
        <v>0</v>
      </c>
      <c r="O23" s="43">
        <f t="shared" si="4"/>
        <v>0</v>
      </c>
      <c r="P23" s="90"/>
      <c r="Q23" s="99"/>
      <c r="R23" s="673"/>
      <c r="S23" s="673"/>
      <c r="T23" s="673"/>
      <c r="U23" s="673"/>
      <c r="V23" s="673"/>
      <c r="W23" s="673"/>
      <c r="X23" s="673"/>
      <c r="Y23" s="99"/>
      <c r="Z23" s="99"/>
      <c r="AA23" s="99"/>
      <c r="AB23" s="673">
        <f t="shared" si="5"/>
        <v>0</v>
      </c>
      <c r="AC23" s="673">
        <f t="shared" si="6"/>
        <v>0</v>
      </c>
      <c r="AD23" s="718">
        <f t="shared" si="2"/>
        <v>0</v>
      </c>
      <c r="AE23" s="718">
        <f t="shared" si="7"/>
        <v>0</v>
      </c>
      <c r="AF23" s="475">
        <f t="shared" si="8"/>
        <v>0</v>
      </c>
    </row>
    <row r="24" spans="1:32" x14ac:dyDescent="0.25">
      <c r="A24" s="572" t="s">
        <v>725</v>
      </c>
      <c r="B24" s="476"/>
      <c r="C24" s="58"/>
      <c r="D24" s="666"/>
      <c r="E24" s="666"/>
      <c r="F24" s="666"/>
      <c r="G24" s="666"/>
      <c r="H24" s="666"/>
      <c r="I24" s="666"/>
      <c r="J24" s="666"/>
      <c r="K24" s="666"/>
      <c r="L24" s="151">
        <f t="shared" si="0"/>
        <v>0</v>
      </c>
      <c r="M24" s="151">
        <f t="shared" si="3"/>
        <v>0</v>
      </c>
      <c r="N24" s="151">
        <f t="shared" si="1"/>
        <v>0</v>
      </c>
      <c r="O24" s="43">
        <f t="shared" si="4"/>
        <v>0</v>
      </c>
      <c r="P24" s="90"/>
      <c r="Q24" s="99"/>
      <c r="R24" s="673"/>
      <c r="S24" s="673"/>
      <c r="T24" s="673"/>
      <c r="U24" s="673"/>
      <c r="V24" s="673"/>
      <c r="W24" s="673"/>
      <c r="X24" s="673"/>
      <c r="Y24" s="99"/>
      <c r="Z24" s="99"/>
      <c r="AA24" s="99"/>
      <c r="AB24" s="673">
        <f t="shared" si="5"/>
        <v>0</v>
      </c>
      <c r="AC24" s="673">
        <f t="shared" si="6"/>
        <v>0</v>
      </c>
      <c r="AD24" s="718">
        <f t="shared" si="2"/>
        <v>0</v>
      </c>
      <c r="AE24" s="718">
        <f t="shared" si="7"/>
        <v>0</v>
      </c>
      <c r="AF24" s="475">
        <f t="shared" si="8"/>
        <v>0</v>
      </c>
    </row>
    <row r="25" spans="1:32" x14ac:dyDescent="0.25">
      <c r="A25" s="573" t="s">
        <v>673</v>
      </c>
      <c r="B25" s="476"/>
      <c r="C25" s="58"/>
      <c r="D25" s="666"/>
      <c r="E25" s="666"/>
      <c r="F25" s="666"/>
      <c r="G25" s="666"/>
      <c r="H25" s="666"/>
      <c r="I25" s="666"/>
      <c r="J25" s="666"/>
      <c r="K25" s="666"/>
      <c r="L25" s="151">
        <f t="shared" si="0"/>
        <v>0</v>
      </c>
      <c r="M25" s="151">
        <f t="shared" si="3"/>
        <v>0</v>
      </c>
      <c r="N25" s="151">
        <f t="shared" si="1"/>
        <v>0</v>
      </c>
      <c r="O25" s="43">
        <f t="shared" si="4"/>
        <v>0</v>
      </c>
      <c r="P25" s="373"/>
      <c r="Q25" s="211"/>
      <c r="R25" s="373"/>
      <c r="S25" s="373"/>
      <c r="T25" s="373"/>
      <c r="U25" s="373"/>
      <c r="V25" s="373"/>
      <c r="W25" s="373"/>
      <c r="X25" s="373"/>
      <c r="Y25" s="211"/>
      <c r="Z25" s="211"/>
      <c r="AA25" s="211"/>
      <c r="AB25" s="673">
        <f t="shared" si="5"/>
        <v>0</v>
      </c>
      <c r="AC25" s="673">
        <f t="shared" si="6"/>
        <v>0</v>
      </c>
      <c r="AD25" s="718">
        <f t="shared" si="2"/>
        <v>0</v>
      </c>
      <c r="AE25" s="718">
        <f t="shared" si="7"/>
        <v>0</v>
      </c>
      <c r="AF25" s="475">
        <f t="shared" si="8"/>
        <v>0</v>
      </c>
    </row>
    <row r="26" spans="1:32" x14ac:dyDescent="0.25">
      <c r="A26" s="573" t="s">
        <v>674</v>
      </c>
      <c r="B26" s="476"/>
      <c r="C26" s="58"/>
      <c r="D26" s="666"/>
      <c r="E26" s="666"/>
      <c r="F26" s="666"/>
      <c r="G26" s="666"/>
      <c r="H26" s="666"/>
      <c r="I26" s="666"/>
      <c r="J26" s="666"/>
      <c r="K26" s="666"/>
      <c r="L26" s="151">
        <f t="shared" si="0"/>
        <v>0</v>
      </c>
      <c r="M26" s="151">
        <f t="shared" si="3"/>
        <v>0</v>
      </c>
      <c r="N26" s="151">
        <f t="shared" si="1"/>
        <v>0</v>
      </c>
      <c r="O26" s="43">
        <f t="shared" si="4"/>
        <v>0</v>
      </c>
      <c r="P26" s="90"/>
      <c r="Q26" s="99"/>
      <c r="R26" s="673"/>
      <c r="S26" s="673"/>
      <c r="T26" s="673"/>
      <c r="U26" s="673"/>
      <c r="V26" s="673"/>
      <c r="W26" s="673"/>
      <c r="X26" s="673"/>
      <c r="Y26" s="99"/>
      <c r="Z26" s="99"/>
      <c r="AA26" s="99"/>
      <c r="AB26" s="673">
        <f t="shared" si="5"/>
        <v>0</v>
      </c>
      <c r="AC26" s="673">
        <f t="shared" si="6"/>
        <v>0</v>
      </c>
      <c r="AD26" s="718">
        <f t="shared" si="2"/>
        <v>0</v>
      </c>
      <c r="AE26" s="718">
        <f t="shared" si="7"/>
        <v>0</v>
      </c>
      <c r="AF26" s="475">
        <f t="shared" si="8"/>
        <v>0</v>
      </c>
    </row>
    <row r="27" spans="1:32" x14ac:dyDescent="0.25">
      <c r="A27" s="574" t="s">
        <v>370</v>
      </c>
      <c r="B27" s="476"/>
      <c r="C27" s="373"/>
      <c r="D27" s="373"/>
      <c r="E27" s="373"/>
      <c r="F27" s="373"/>
      <c r="G27" s="373"/>
      <c r="H27" s="373"/>
      <c r="I27" s="373"/>
      <c r="J27" s="373"/>
      <c r="K27" s="373"/>
      <c r="L27" s="151">
        <f t="shared" si="0"/>
        <v>0</v>
      </c>
      <c r="M27" s="151">
        <f t="shared" si="3"/>
        <v>0</v>
      </c>
      <c r="N27" s="151">
        <f t="shared" ref="N27:N32" si="11">L27/12</f>
        <v>0</v>
      </c>
      <c r="O27" s="43">
        <f t="shared" ref="O27:O32" si="12">M27+N27</f>
        <v>0</v>
      </c>
      <c r="P27" s="373"/>
      <c r="Q27" s="211"/>
      <c r="R27" s="373"/>
      <c r="S27" s="373"/>
      <c r="T27" s="373"/>
      <c r="U27" s="373"/>
      <c r="V27" s="373"/>
      <c r="W27" s="373"/>
      <c r="X27" s="373"/>
      <c r="Y27" s="211"/>
      <c r="Z27" s="211"/>
      <c r="AA27" s="211"/>
      <c r="AB27" s="673">
        <f t="shared" si="5"/>
        <v>0</v>
      </c>
      <c r="AC27" s="673">
        <f t="shared" si="6"/>
        <v>0</v>
      </c>
      <c r="AD27" s="718">
        <f t="shared" si="2"/>
        <v>0</v>
      </c>
      <c r="AE27" s="718">
        <f t="shared" si="7"/>
        <v>0</v>
      </c>
      <c r="AF27" s="475">
        <f t="shared" si="8"/>
        <v>0</v>
      </c>
    </row>
    <row r="28" spans="1:32" x14ac:dyDescent="0.25">
      <c r="A28" s="550" t="s">
        <v>763</v>
      </c>
      <c r="B28" s="476" t="s">
        <v>29</v>
      </c>
      <c r="C28" s="58">
        <v>439969.56</v>
      </c>
      <c r="D28" s="666"/>
      <c r="E28" s="666"/>
      <c r="F28" s="666">
        <v>2596.44</v>
      </c>
      <c r="G28" s="666"/>
      <c r="H28" s="666"/>
      <c r="I28" s="666"/>
      <c r="J28" s="666"/>
      <c r="K28" s="666"/>
      <c r="L28" s="151">
        <f t="shared" si="0"/>
        <v>442566</v>
      </c>
      <c r="M28" s="151">
        <f t="shared" si="3"/>
        <v>331924.5</v>
      </c>
      <c r="N28" s="151">
        <f t="shared" si="11"/>
        <v>36880.5</v>
      </c>
      <c r="O28" s="43">
        <f t="shared" si="12"/>
        <v>368805</v>
      </c>
      <c r="P28" s="776">
        <v>34924.199999999997</v>
      </c>
      <c r="Q28" s="776">
        <v>34924.199999999997</v>
      </c>
      <c r="R28" s="1087">
        <v>34931.4</v>
      </c>
      <c r="S28" s="673">
        <v>41604.42</v>
      </c>
      <c r="T28" s="1164">
        <v>36632.519999999997</v>
      </c>
      <c r="U28" s="708">
        <v>36632.519999999997</v>
      </c>
      <c r="V28" s="708">
        <v>36632.519999999997</v>
      </c>
      <c r="W28" s="708">
        <v>36650.61</v>
      </c>
      <c r="X28" s="1257">
        <v>36699.379999999997</v>
      </c>
      <c r="Y28" s="1290">
        <v>36701.64</v>
      </c>
      <c r="Z28" s="99"/>
      <c r="AA28" s="99"/>
      <c r="AB28" s="673">
        <f t="shared" si="5"/>
        <v>329631.76999999996</v>
      </c>
      <c r="AC28" s="673">
        <f t="shared" si="6"/>
        <v>36701.64</v>
      </c>
      <c r="AD28" s="718">
        <f t="shared" si="2"/>
        <v>366333.41</v>
      </c>
      <c r="AE28" s="718">
        <f t="shared" si="7"/>
        <v>2471.5900000000256</v>
      </c>
      <c r="AF28" s="475">
        <f t="shared" si="8"/>
        <v>76232.590000000026</v>
      </c>
    </row>
    <row r="29" spans="1:32" x14ac:dyDescent="0.25">
      <c r="A29" s="550" t="s">
        <v>676</v>
      </c>
      <c r="B29" s="476" t="s">
        <v>31</v>
      </c>
      <c r="C29" s="58">
        <v>73328.259999999995</v>
      </c>
      <c r="D29" s="666"/>
      <c r="E29" s="666"/>
      <c r="F29" s="666">
        <v>432.74</v>
      </c>
      <c r="G29" s="666"/>
      <c r="H29" s="666"/>
      <c r="I29" s="666"/>
      <c r="J29" s="666"/>
      <c r="K29" s="666"/>
      <c r="L29" s="151">
        <f t="shared" si="0"/>
        <v>73761</v>
      </c>
      <c r="M29" s="151">
        <f t="shared" si="3"/>
        <v>55320.75</v>
      </c>
      <c r="N29" s="151">
        <f t="shared" si="11"/>
        <v>6146.75</v>
      </c>
      <c r="O29" s="43">
        <f t="shared" si="12"/>
        <v>61467.5</v>
      </c>
      <c r="P29" s="776">
        <v>5820.7</v>
      </c>
      <c r="Q29" s="776">
        <v>5820.7</v>
      </c>
      <c r="R29" s="1087">
        <v>5821.9</v>
      </c>
      <c r="S29" s="673">
        <v>6934.07</v>
      </c>
      <c r="T29" s="1164">
        <v>6105.42</v>
      </c>
      <c r="U29" s="708">
        <v>6105.42</v>
      </c>
      <c r="V29" s="708">
        <v>6105.42</v>
      </c>
      <c r="W29" s="708">
        <v>608.42999999999995</v>
      </c>
      <c r="X29" s="1257">
        <v>4165.37</v>
      </c>
      <c r="Y29" s="1290">
        <v>6116.94</v>
      </c>
      <c r="Z29" s="99"/>
      <c r="AA29" s="99"/>
      <c r="AB29" s="673">
        <f t="shared" si="5"/>
        <v>47487.43</v>
      </c>
      <c r="AC29" s="673">
        <f t="shared" si="6"/>
        <v>6116.94</v>
      </c>
      <c r="AD29" s="718">
        <f t="shared" si="2"/>
        <v>53604.37</v>
      </c>
      <c r="AE29" s="718">
        <f t="shared" si="7"/>
        <v>7863.1299999999974</v>
      </c>
      <c r="AF29" s="475">
        <f t="shared" si="8"/>
        <v>20156.629999999997</v>
      </c>
    </row>
    <row r="30" spans="1:32" x14ac:dyDescent="0.25">
      <c r="A30" s="550" t="s">
        <v>677</v>
      </c>
      <c r="B30" s="476" t="s">
        <v>33</v>
      </c>
      <c r="C30" s="58">
        <v>60323.87</v>
      </c>
      <c r="D30" s="666"/>
      <c r="E30" s="666"/>
      <c r="F30" s="666">
        <v>378.65</v>
      </c>
      <c r="G30" s="666"/>
      <c r="H30" s="666"/>
      <c r="I30" s="666"/>
      <c r="J30" s="666"/>
      <c r="K30" s="666"/>
      <c r="L30" s="151">
        <f t="shared" si="0"/>
        <v>60702.520000000004</v>
      </c>
      <c r="M30" s="151">
        <f t="shared" si="3"/>
        <v>45526.890000000007</v>
      </c>
      <c r="N30" s="151">
        <f t="shared" si="11"/>
        <v>5058.543333333334</v>
      </c>
      <c r="O30" s="43">
        <f t="shared" si="12"/>
        <v>50585.433333333342</v>
      </c>
      <c r="P30" s="776">
        <v>3968.62</v>
      </c>
      <c r="Q30" s="776">
        <v>3968.62</v>
      </c>
      <c r="R30" s="1087">
        <v>3969.52</v>
      </c>
      <c r="S30" s="673">
        <v>4156.7299999999996</v>
      </c>
      <c r="T30" s="1164">
        <v>4156.7299999999996</v>
      </c>
      <c r="U30" s="708">
        <v>4156.7299999999996</v>
      </c>
      <c r="V30" s="708">
        <v>4156.7299999999996</v>
      </c>
      <c r="W30" s="708">
        <v>4161.1000000000004</v>
      </c>
      <c r="X30" s="1257">
        <v>6116.56</v>
      </c>
      <c r="Y30" s="1290">
        <v>4165.37</v>
      </c>
      <c r="Z30" s="99"/>
      <c r="AA30" s="99"/>
      <c r="AB30" s="673">
        <f t="shared" si="5"/>
        <v>38811.339999999997</v>
      </c>
      <c r="AC30" s="673">
        <f t="shared" si="6"/>
        <v>4165.37</v>
      </c>
      <c r="AD30" s="718">
        <f t="shared" si="2"/>
        <v>42976.71</v>
      </c>
      <c r="AE30" s="718">
        <f t="shared" si="7"/>
        <v>7608.7233333333425</v>
      </c>
      <c r="AF30" s="475">
        <f t="shared" si="8"/>
        <v>17725.810000000005</v>
      </c>
    </row>
    <row r="31" spans="1:32" x14ac:dyDescent="0.25">
      <c r="A31" s="575" t="s">
        <v>678</v>
      </c>
      <c r="B31" s="476" t="s">
        <v>35</v>
      </c>
      <c r="C31" s="58">
        <v>12000</v>
      </c>
      <c r="D31" s="666"/>
      <c r="E31" s="666"/>
      <c r="F31" s="666"/>
      <c r="G31" s="666"/>
      <c r="H31" s="666"/>
      <c r="I31" s="666"/>
      <c r="J31" s="666"/>
      <c r="K31" s="666"/>
      <c r="L31" s="151">
        <f t="shared" si="0"/>
        <v>12000</v>
      </c>
      <c r="M31" s="151">
        <f t="shared" si="3"/>
        <v>9000</v>
      </c>
      <c r="N31" s="151">
        <f t="shared" si="11"/>
        <v>1000</v>
      </c>
      <c r="O31" s="43">
        <f t="shared" si="12"/>
        <v>10000</v>
      </c>
      <c r="P31" s="776">
        <v>1000</v>
      </c>
      <c r="Q31" s="776">
        <v>1000</v>
      </c>
      <c r="R31" s="1087">
        <v>1000</v>
      </c>
      <c r="S31" s="673">
        <v>1000</v>
      </c>
      <c r="T31" s="1164">
        <v>1000</v>
      </c>
      <c r="U31" s="708">
        <v>1000</v>
      </c>
      <c r="V31" s="708">
        <v>1000</v>
      </c>
      <c r="W31" s="708">
        <v>1000</v>
      </c>
      <c r="X31" s="1257">
        <v>1000</v>
      </c>
      <c r="Y31" s="1290">
        <v>1000</v>
      </c>
      <c r="Z31" s="99"/>
      <c r="AA31" s="99"/>
      <c r="AB31" s="673">
        <f t="shared" si="5"/>
        <v>9000</v>
      </c>
      <c r="AC31" s="673">
        <f t="shared" si="6"/>
        <v>1000</v>
      </c>
      <c r="AD31" s="718">
        <f t="shared" si="2"/>
        <v>10000</v>
      </c>
      <c r="AE31" s="718">
        <f t="shared" si="7"/>
        <v>0</v>
      </c>
      <c r="AF31" s="475">
        <f t="shared" si="8"/>
        <v>2000</v>
      </c>
    </row>
    <row r="32" spans="1:32" x14ac:dyDescent="0.25">
      <c r="A32" s="576"/>
      <c r="B32" s="577"/>
      <c r="C32" s="151"/>
      <c r="D32" s="151"/>
      <c r="E32" s="151"/>
      <c r="F32" s="151"/>
      <c r="G32" s="151"/>
      <c r="H32" s="151"/>
      <c r="I32" s="151"/>
      <c r="J32" s="151"/>
      <c r="K32" s="151"/>
      <c r="L32" s="151">
        <f t="shared" si="0"/>
        <v>0</v>
      </c>
      <c r="M32" s="151">
        <f t="shared" si="3"/>
        <v>0</v>
      </c>
      <c r="N32" s="151">
        <f t="shared" si="11"/>
        <v>0</v>
      </c>
      <c r="O32" s="43">
        <f t="shared" si="12"/>
        <v>0</v>
      </c>
      <c r="P32" s="90"/>
      <c r="Q32" s="99"/>
      <c r="R32" s="673"/>
      <c r="S32" s="673"/>
      <c r="T32" s="673"/>
      <c r="U32" s="673"/>
      <c r="V32" s="673"/>
      <c r="W32" s="673"/>
      <c r="X32" s="673"/>
      <c r="Y32" s="99"/>
      <c r="Z32" s="99"/>
      <c r="AA32" s="99"/>
      <c r="AB32" s="673">
        <f t="shared" si="5"/>
        <v>0</v>
      </c>
      <c r="AC32" s="673">
        <f t="shared" si="6"/>
        <v>0</v>
      </c>
      <c r="AD32" s="718">
        <f t="shared" si="2"/>
        <v>0</v>
      </c>
      <c r="AE32" s="718">
        <f t="shared" si="7"/>
        <v>0</v>
      </c>
      <c r="AF32" s="475">
        <f t="shared" si="8"/>
        <v>0</v>
      </c>
    </row>
    <row r="33" spans="1:32" x14ac:dyDescent="0.25">
      <c r="A33" s="211" t="s">
        <v>40</v>
      </c>
      <c r="B33" s="578"/>
      <c r="C33" s="579">
        <f>SUM(C8:C32)</f>
        <v>6323855.6899999995</v>
      </c>
      <c r="D33" s="579">
        <f>SUM(D8:D32)</f>
        <v>0</v>
      </c>
      <c r="E33" s="579">
        <f>SUM(E8:E32)</f>
        <v>0</v>
      </c>
      <c r="F33" s="579">
        <f>SUM(F8:F32)</f>
        <v>33545.08</v>
      </c>
      <c r="G33" s="579">
        <f t="shared" ref="G33:I33" si="13">SUM(G8:G32)</f>
        <v>0</v>
      </c>
      <c r="H33" s="579"/>
      <c r="I33" s="579">
        <f t="shared" si="13"/>
        <v>0</v>
      </c>
      <c r="J33" s="579">
        <f t="shared" ref="J33:AF33" si="14">SUM(J8:J32)</f>
        <v>0</v>
      </c>
      <c r="K33" s="579">
        <f t="shared" si="14"/>
        <v>0</v>
      </c>
      <c r="L33" s="579">
        <f>SUM(L8:L32)</f>
        <v>6357400.7699999996</v>
      </c>
      <c r="M33" s="579">
        <f t="shared" si="14"/>
        <v>4778050.5774999997</v>
      </c>
      <c r="N33" s="579">
        <f t="shared" si="14"/>
        <v>529783.39749999996</v>
      </c>
      <c r="O33" s="579">
        <f t="shared" si="14"/>
        <v>5307833.9750000006</v>
      </c>
      <c r="P33" s="579">
        <f t="shared" si="14"/>
        <v>481787.97000000003</v>
      </c>
      <c r="Q33" s="579">
        <f t="shared" si="14"/>
        <v>441787.97000000003</v>
      </c>
      <c r="R33" s="579">
        <f t="shared" si="14"/>
        <v>441872.27000000008</v>
      </c>
      <c r="S33" s="579">
        <f t="shared" si="14"/>
        <v>508742.76999999996</v>
      </c>
      <c r="T33" s="579">
        <f t="shared" si="14"/>
        <v>766780.72000000009</v>
      </c>
      <c r="U33" s="579">
        <f t="shared" si="14"/>
        <v>461509.72</v>
      </c>
      <c r="V33" s="579">
        <f t="shared" si="14"/>
        <v>461509.72</v>
      </c>
      <c r="W33" s="579">
        <f t="shared" si="14"/>
        <v>456223.59999999992</v>
      </c>
      <c r="X33" s="579">
        <f t="shared" si="14"/>
        <v>462292.81</v>
      </c>
      <c r="Y33" s="579">
        <f t="shared" si="14"/>
        <v>470569</v>
      </c>
      <c r="Z33" s="579">
        <f t="shared" si="14"/>
        <v>0</v>
      </c>
      <c r="AA33" s="579">
        <f t="shared" si="14"/>
        <v>0</v>
      </c>
      <c r="AB33" s="579">
        <f t="shared" si="14"/>
        <v>4482507.5499999989</v>
      </c>
      <c r="AC33" s="579">
        <f t="shared" si="14"/>
        <v>470569</v>
      </c>
      <c r="AD33" s="579">
        <f t="shared" si="14"/>
        <v>4953076.5500000007</v>
      </c>
      <c r="AE33" s="579">
        <f t="shared" si="14"/>
        <v>354757.42500000005</v>
      </c>
      <c r="AF33" s="579">
        <f t="shared" si="14"/>
        <v>1404324.22</v>
      </c>
    </row>
    <row r="34" spans="1:32" x14ac:dyDescent="0.25">
      <c r="A34" s="580" t="s">
        <v>620</v>
      </c>
      <c r="B34" s="214" t="s">
        <v>43</v>
      </c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43"/>
      <c r="P34" s="90"/>
      <c r="Q34" s="99"/>
      <c r="R34" s="673"/>
      <c r="S34" s="673"/>
      <c r="T34" s="673"/>
      <c r="U34" s="673"/>
      <c r="V34" s="673"/>
      <c r="W34" s="673"/>
      <c r="X34" s="673"/>
      <c r="Y34" s="99"/>
      <c r="Z34" s="99"/>
      <c r="AA34" s="99"/>
      <c r="AB34" s="673">
        <f t="shared" ref="AB34:AB87" si="15">P34+Q34+R34+S34+T34+U34+V34+W34+X34</f>
        <v>0</v>
      </c>
      <c r="AC34" s="673">
        <f t="shared" ref="AC34:AC87" si="16">Y34</f>
        <v>0</v>
      </c>
      <c r="AD34" s="43">
        <f>SUM(P34:AA34)</f>
        <v>0</v>
      </c>
      <c r="AE34" s="43"/>
      <c r="AF34" s="99"/>
    </row>
    <row r="35" spans="1:32" x14ac:dyDescent="0.25">
      <c r="A35" s="581" t="s">
        <v>139</v>
      </c>
      <c r="B35" s="214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>
        <f t="shared" ref="N35:N36" si="17">L35/12</f>
        <v>0</v>
      </c>
      <c r="O35" s="43">
        <f>SUM(B35:N35)</f>
        <v>0</v>
      </c>
      <c r="P35" s="90"/>
      <c r="Q35" s="99"/>
      <c r="R35" s="673"/>
      <c r="S35" s="673"/>
      <c r="T35" s="673"/>
      <c r="U35" s="673"/>
      <c r="V35" s="673"/>
      <c r="W35" s="673"/>
      <c r="X35" s="673"/>
      <c r="Y35" s="99"/>
      <c r="Z35" s="99"/>
      <c r="AA35" s="99"/>
      <c r="AB35" s="673">
        <f t="shared" si="15"/>
        <v>0</v>
      </c>
      <c r="AC35" s="673">
        <f t="shared" si="16"/>
        <v>0</v>
      </c>
      <c r="AD35" s="718">
        <f t="shared" ref="AD35:AD87" si="18">AB35+AC35</f>
        <v>0</v>
      </c>
      <c r="AE35" s="718">
        <f t="shared" ref="AE35:AE87" si="19">O35-AD35</f>
        <v>0</v>
      </c>
      <c r="AF35" s="475">
        <f t="shared" ref="AF35:AF87" si="20">L35-AD35</f>
        <v>0</v>
      </c>
    </row>
    <row r="36" spans="1:32" x14ac:dyDescent="0.25">
      <c r="A36" s="582" t="s">
        <v>765</v>
      </c>
      <c r="B36" s="214"/>
      <c r="C36" s="58">
        <v>124000</v>
      </c>
      <c r="D36" s="666"/>
      <c r="E36" s="666"/>
      <c r="F36" s="666"/>
      <c r="G36" s="666"/>
      <c r="H36" s="666"/>
      <c r="I36" s="666"/>
      <c r="J36" s="666"/>
      <c r="K36" s="666"/>
      <c r="L36" s="151">
        <f t="shared" ref="L36:L67" si="21">SUM(C36:K36)</f>
        <v>124000</v>
      </c>
      <c r="M36" s="151">
        <f t="shared" ref="M36:M87" si="22">L36/12*9</f>
        <v>93000</v>
      </c>
      <c r="N36" s="151">
        <f t="shared" si="17"/>
        <v>10333.333333333334</v>
      </c>
      <c r="O36" s="43">
        <f t="shared" ref="O36" si="23">M36+N36</f>
        <v>103333.33333333333</v>
      </c>
      <c r="P36" s="90"/>
      <c r="Q36" s="1070">
        <v>8360</v>
      </c>
      <c r="R36" s="673">
        <v>8360</v>
      </c>
      <c r="S36" s="673"/>
      <c r="T36" s="673"/>
      <c r="U36" s="673"/>
      <c r="V36" s="673">
        <v>12320</v>
      </c>
      <c r="W36" s="673"/>
      <c r="X36" s="673">
        <v>6600</v>
      </c>
      <c r="Y36" s="99"/>
      <c r="Z36" s="99"/>
      <c r="AA36" s="99"/>
      <c r="AB36" s="673">
        <f t="shared" si="15"/>
        <v>35640</v>
      </c>
      <c r="AC36" s="673">
        <f t="shared" si="16"/>
        <v>0</v>
      </c>
      <c r="AD36" s="718">
        <f t="shared" si="18"/>
        <v>35640</v>
      </c>
      <c r="AE36" s="718">
        <f t="shared" si="19"/>
        <v>67693.333333333328</v>
      </c>
      <c r="AF36" s="475">
        <f t="shared" si="20"/>
        <v>88360</v>
      </c>
    </row>
    <row r="37" spans="1:32" x14ac:dyDescent="0.25">
      <c r="A37" s="582" t="s">
        <v>766</v>
      </c>
      <c r="B37" s="214" t="s">
        <v>140</v>
      </c>
      <c r="C37" s="58">
        <v>26000</v>
      </c>
      <c r="D37" s="666"/>
      <c r="E37" s="666"/>
      <c r="F37" s="666"/>
      <c r="G37" s="666"/>
      <c r="H37" s="666"/>
      <c r="I37" s="666"/>
      <c r="J37" s="666"/>
      <c r="K37" s="666"/>
      <c r="L37" s="151">
        <f t="shared" si="21"/>
        <v>26000</v>
      </c>
      <c r="M37" s="151">
        <f t="shared" si="22"/>
        <v>19500</v>
      </c>
      <c r="N37" s="151">
        <f t="shared" ref="N37:N87" si="24">L37/12</f>
        <v>2166.6666666666665</v>
      </c>
      <c r="O37" s="718">
        <f t="shared" ref="O37:O87" si="25">M37+N37</f>
        <v>21666.666666666668</v>
      </c>
      <c r="P37" s="90"/>
      <c r="Q37" s="99"/>
      <c r="R37" s="673">
        <f>2120+2120</f>
        <v>4240</v>
      </c>
      <c r="S37" s="673"/>
      <c r="T37" s="673"/>
      <c r="U37" s="673">
        <v>1280</v>
      </c>
      <c r="V37" s="746">
        <f>1280</f>
        <v>1280</v>
      </c>
      <c r="W37" s="673">
        <v>2612</v>
      </c>
      <c r="X37" s="673">
        <v>1140</v>
      </c>
      <c r="Y37" s="99">
        <v>2560</v>
      </c>
      <c r="Z37" s="99"/>
      <c r="AA37" s="99"/>
      <c r="AB37" s="673">
        <f t="shared" si="15"/>
        <v>10552</v>
      </c>
      <c r="AC37" s="673">
        <f t="shared" si="16"/>
        <v>2560</v>
      </c>
      <c r="AD37" s="718">
        <f t="shared" si="18"/>
        <v>13112</v>
      </c>
      <c r="AE37" s="718">
        <f t="shared" si="19"/>
        <v>8554.6666666666679</v>
      </c>
      <c r="AF37" s="475">
        <f t="shared" si="20"/>
        <v>12888</v>
      </c>
    </row>
    <row r="38" spans="1:32" x14ac:dyDescent="0.25">
      <c r="A38" s="582" t="s">
        <v>767</v>
      </c>
      <c r="B38" s="214"/>
      <c r="C38" s="58"/>
      <c r="D38" s="666"/>
      <c r="E38" s="666"/>
      <c r="F38" s="666"/>
      <c r="G38" s="666"/>
      <c r="H38" s="666"/>
      <c r="I38" s="666"/>
      <c r="J38" s="666"/>
      <c r="K38" s="666"/>
      <c r="L38" s="151">
        <f t="shared" si="21"/>
        <v>0</v>
      </c>
      <c r="M38" s="151">
        <f t="shared" si="22"/>
        <v>0</v>
      </c>
      <c r="N38" s="151">
        <f t="shared" si="24"/>
        <v>0</v>
      </c>
      <c r="O38" s="718">
        <f t="shared" si="25"/>
        <v>0</v>
      </c>
      <c r="P38" s="43"/>
      <c r="Q38" s="563"/>
      <c r="R38" s="725"/>
      <c r="S38" s="725"/>
      <c r="T38" s="725"/>
      <c r="U38" s="725"/>
      <c r="V38" s="725"/>
      <c r="W38" s="725"/>
      <c r="X38" s="725"/>
      <c r="Y38" s="563"/>
      <c r="Z38" s="563"/>
      <c r="AA38" s="563"/>
      <c r="AB38" s="673">
        <f t="shared" si="15"/>
        <v>0</v>
      </c>
      <c r="AC38" s="673">
        <f t="shared" si="16"/>
        <v>0</v>
      </c>
      <c r="AD38" s="718">
        <f t="shared" si="18"/>
        <v>0</v>
      </c>
      <c r="AE38" s="718">
        <f t="shared" si="19"/>
        <v>0</v>
      </c>
      <c r="AF38" s="475">
        <f t="shared" si="20"/>
        <v>0</v>
      </c>
    </row>
    <row r="39" spans="1:32" x14ac:dyDescent="0.25">
      <c r="A39" s="581" t="s">
        <v>44</v>
      </c>
      <c r="B39" s="214" t="s">
        <v>51</v>
      </c>
      <c r="C39" s="58"/>
      <c r="D39" s="666"/>
      <c r="E39" s="666"/>
      <c r="F39" s="666"/>
      <c r="G39" s="666"/>
      <c r="H39" s="666"/>
      <c r="I39" s="666"/>
      <c r="J39" s="666"/>
      <c r="K39" s="666"/>
      <c r="L39" s="151">
        <f t="shared" si="21"/>
        <v>0</v>
      </c>
      <c r="M39" s="151">
        <f t="shared" si="22"/>
        <v>0</v>
      </c>
      <c r="N39" s="151">
        <f t="shared" si="24"/>
        <v>0</v>
      </c>
      <c r="O39" s="718">
        <f t="shared" si="25"/>
        <v>0</v>
      </c>
      <c r="P39" s="90"/>
      <c r="Q39" s="99"/>
      <c r="R39" s="673"/>
      <c r="S39" s="673"/>
      <c r="T39" s="673"/>
      <c r="U39" s="673"/>
      <c r="V39" s="673"/>
      <c r="W39" s="673"/>
      <c r="X39" s="673"/>
      <c r="Y39" s="99"/>
      <c r="Z39" s="99"/>
      <c r="AA39" s="99"/>
      <c r="AB39" s="673">
        <f t="shared" si="15"/>
        <v>0</v>
      </c>
      <c r="AC39" s="673">
        <f t="shared" si="16"/>
        <v>0</v>
      </c>
      <c r="AD39" s="718">
        <f t="shared" si="18"/>
        <v>0</v>
      </c>
      <c r="AE39" s="718">
        <f t="shared" si="19"/>
        <v>0</v>
      </c>
      <c r="AF39" s="475">
        <f t="shared" si="20"/>
        <v>0</v>
      </c>
    </row>
    <row r="40" spans="1:32" x14ac:dyDescent="0.25">
      <c r="A40" s="582" t="s">
        <v>768</v>
      </c>
      <c r="B40" s="214"/>
      <c r="C40" s="58">
        <v>40000</v>
      </c>
      <c r="D40" s="666"/>
      <c r="E40" s="666"/>
      <c r="F40" s="666"/>
      <c r="G40" s="666"/>
      <c r="H40" s="666">
        <v>5060</v>
      </c>
      <c r="I40" s="666"/>
      <c r="J40" s="666"/>
      <c r="K40" s="666"/>
      <c r="L40" s="151">
        <f t="shared" si="21"/>
        <v>45060</v>
      </c>
      <c r="M40" s="151">
        <f t="shared" si="22"/>
        <v>33795</v>
      </c>
      <c r="N40" s="151">
        <f t="shared" si="24"/>
        <v>3755</v>
      </c>
      <c r="O40" s="718">
        <f t="shared" si="25"/>
        <v>37550</v>
      </c>
      <c r="P40" s="90"/>
      <c r="Q40" s="99"/>
      <c r="R40" s="673">
        <v>23180</v>
      </c>
      <c r="S40" s="673"/>
      <c r="T40" s="673"/>
      <c r="U40" s="673"/>
      <c r="V40" s="673"/>
      <c r="W40" s="673">
        <v>5060</v>
      </c>
      <c r="X40" s="673">
        <v>8614.5</v>
      </c>
      <c r="Y40" s="99"/>
      <c r="Z40" s="99"/>
      <c r="AA40" s="99"/>
      <c r="AB40" s="673">
        <f t="shared" si="15"/>
        <v>36854.5</v>
      </c>
      <c r="AC40" s="673">
        <f t="shared" si="16"/>
        <v>0</v>
      </c>
      <c r="AD40" s="718">
        <f t="shared" si="18"/>
        <v>36854.5</v>
      </c>
      <c r="AE40" s="718">
        <f t="shared" si="19"/>
        <v>695.5</v>
      </c>
      <c r="AF40" s="475">
        <f t="shared" si="20"/>
        <v>8205.5</v>
      </c>
    </row>
    <row r="41" spans="1:32" x14ac:dyDescent="0.25">
      <c r="A41" s="582" t="s">
        <v>769</v>
      </c>
      <c r="B41" s="214" t="s">
        <v>278</v>
      </c>
      <c r="C41" s="58">
        <v>20000</v>
      </c>
      <c r="D41" s="666"/>
      <c r="E41" s="666"/>
      <c r="F41" s="666"/>
      <c r="G41" s="666"/>
      <c r="H41" s="666"/>
      <c r="I41" s="666"/>
      <c r="J41" s="666"/>
      <c r="K41" s="666"/>
      <c r="L41" s="151">
        <f t="shared" si="21"/>
        <v>20000</v>
      </c>
      <c r="M41" s="151">
        <f t="shared" si="22"/>
        <v>15000</v>
      </c>
      <c r="N41" s="151">
        <f t="shared" si="24"/>
        <v>1666.6666666666667</v>
      </c>
      <c r="O41" s="718">
        <f t="shared" si="25"/>
        <v>16666.666666666668</v>
      </c>
      <c r="P41" s="90"/>
      <c r="Q41" s="99"/>
      <c r="R41" s="673"/>
      <c r="S41" s="673"/>
      <c r="T41" s="673"/>
      <c r="U41" s="673"/>
      <c r="V41" s="673"/>
      <c r="W41" s="673"/>
      <c r="X41" s="673"/>
      <c r="Y41" s="99"/>
      <c r="Z41" s="99"/>
      <c r="AA41" s="99"/>
      <c r="AB41" s="673">
        <f t="shared" si="15"/>
        <v>0</v>
      </c>
      <c r="AC41" s="673">
        <f t="shared" si="16"/>
        <v>0</v>
      </c>
      <c r="AD41" s="718">
        <f t="shared" si="18"/>
        <v>0</v>
      </c>
      <c r="AE41" s="718">
        <f t="shared" si="19"/>
        <v>16666.666666666668</v>
      </c>
      <c r="AF41" s="475">
        <f t="shared" si="20"/>
        <v>20000</v>
      </c>
    </row>
    <row r="42" spans="1:32" x14ac:dyDescent="0.25">
      <c r="A42" s="582" t="s">
        <v>770</v>
      </c>
      <c r="B42" s="214"/>
      <c r="C42" s="58"/>
      <c r="D42" s="666"/>
      <c r="E42" s="666"/>
      <c r="F42" s="666"/>
      <c r="G42" s="666"/>
      <c r="H42" s="666"/>
      <c r="I42" s="666"/>
      <c r="J42" s="666"/>
      <c r="K42" s="666"/>
      <c r="L42" s="151">
        <f t="shared" si="21"/>
        <v>0</v>
      </c>
      <c r="M42" s="151">
        <f t="shared" si="22"/>
        <v>0</v>
      </c>
      <c r="N42" s="151">
        <f t="shared" si="24"/>
        <v>0</v>
      </c>
      <c r="O42" s="718">
        <f t="shared" si="25"/>
        <v>0</v>
      </c>
      <c r="P42" s="90"/>
      <c r="Q42" s="99"/>
      <c r="R42" s="673"/>
      <c r="S42" s="673"/>
      <c r="T42" s="673"/>
      <c r="U42" s="673"/>
      <c r="V42" s="673"/>
      <c r="W42" s="673"/>
      <c r="X42" s="673"/>
      <c r="Y42" s="99"/>
      <c r="Z42" s="99"/>
      <c r="AA42" s="99"/>
      <c r="AB42" s="673">
        <f t="shared" si="15"/>
        <v>0</v>
      </c>
      <c r="AC42" s="673">
        <f t="shared" si="16"/>
        <v>0</v>
      </c>
      <c r="AD42" s="718">
        <f t="shared" si="18"/>
        <v>0</v>
      </c>
      <c r="AE42" s="718">
        <f t="shared" si="19"/>
        <v>0</v>
      </c>
      <c r="AF42" s="475">
        <f t="shared" si="20"/>
        <v>0</v>
      </c>
    </row>
    <row r="43" spans="1:32" x14ac:dyDescent="0.25">
      <c r="A43" s="582" t="s">
        <v>771</v>
      </c>
      <c r="B43" s="214"/>
      <c r="C43" s="58"/>
      <c r="D43" s="666"/>
      <c r="E43" s="666"/>
      <c r="F43" s="666"/>
      <c r="G43" s="666"/>
      <c r="H43" s="666"/>
      <c r="I43" s="666"/>
      <c r="J43" s="666"/>
      <c r="K43" s="666"/>
      <c r="L43" s="151">
        <f t="shared" si="21"/>
        <v>0</v>
      </c>
      <c r="M43" s="151">
        <f t="shared" si="22"/>
        <v>0</v>
      </c>
      <c r="N43" s="151">
        <f t="shared" si="24"/>
        <v>0</v>
      </c>
      <c r="O43" s="718">
        <f t="shared" si="25"/>
        <v>0</v>
      </c>
      <c r="P43" s="90"/>
      <c r="Q43" s="99"/>
      <c r="R43" s="673"/>
      <c r="S43" s="673"/>
      <c r="T43" s="673"/>
      <c r="U43" s="673"/>
      <c r="V43" s="673"/>
      <c r="W43" s="673"/>
      <c r="X43" s="673"/>
      <c r="Y43" s="99"/>
      <c r="Z43" s="99"/>
      <c r="AA43" s="99"/>
      <c r="AB43" s="673">
        <f t="shared" si="15"/>
        <v>0</v>
      </c>
      <c r="AC43" s="673">
        <f t="shared" si="16"/>
        <v>0</v>
      </c>
      <c r="AD43" s="718">
        <f t="shared" si="18"/>
        <v>0</v>
      </c>
      <c r="AE43" s="718">
        <f t="shared" si="19"/>
        <v>0</v>
      </c>
      <c r="AF43" s="475">
        <f t="shared" si="20"/>
        <v>0</v>
      </c>
    </row>
    <row r="44" spans="1:32" x14ac:dyDescent="0.25">
      <c r="A44" s="582" t="s">
        <v>772</v>
      </c>
      <c r="B44" s="214"/>
      <c r="C44" s="58"/>
      <c r="D44" s="666"/>
      <c r="E44" s="666"/>
      <c r="F44" s="666"/>
      <c r="G44" s="666"/>
      <c r="H44" s="666"/>
      <c r="I44" s="666"/>
      <c r="J44" s="666"/>
      <c r="K44" s="666"/>
      <c r="L44" s="151">
        <f t="shared" si="21"/>
        <v>0</v>
      </c>
      <c r="M44" s="151">
        <f t="shared" si="22"/>
        <v>0</v>
      </c>
      <c r="N44" s="151">
        <f t="shared" si="24"/>
        <v>0</v>
      </c>
      <c r="O44" s="718">
        <f t="shared" si="25"/>
        <v>0</v>
      </c>
      <c r="P44" s="90"/>
      <c r="Q44" s="99"/>
      <c r="R44" s="673"/>
      <c r="S44" s="673"/>
      <c r="T44" s="673"/>
      <c r="U44" s="673"/>
      <c r="V44" s="673"/>
      <c r="W44" s="673"/>
      <c r="X44" s="673"/>
      <c r="Y44" s="99"/>
      <c r="Z44" s="99"/>
      <c r="AA44" s="99"/>
      <c r="AB44" s="673">
        <f t="shared" si="15"/>
        <v>0</v>
      </c>
      <c r="AC44" s="673">
        <f t="shared" si="16"/>
        <v>0</v>
      </c>
      <c r="AD44" s="718">
        <f t="shared" si="18"/>
        <v>0</v>
      </c>
      <c r="AE44" s="718">
        <f t="shared" si="19"/>
        <v>0</v>
      </c>
      <c r="AF44" s="475">
        <f t="shared" si="20"/>
        <v>0</v>
      </c>
    </row>
    <row r="45" spans="1:32" x14ac:dyDescent="0.25">
      <c r="A45" s="581" t="s">
        <v>50</v>
      </c>
      <c r="B45" s="214" t="s">
        <v>279</v>
      </c>
      <c r="C45" s="58">
        <f>100000-20000</f>
        <v>80000</v>
      </c>
      <c r="D45" s="666"/>
      <c r="E45" s="666"/>
      <c r="F45" s="666"/>
      <c r="G45" s="666">
        <v>104096</v>
      </c>
      <c r="H45" s="666"/>
      <c r="I45" s="666"/>
      <c r="J45" s="666">
        <f>27000</f>
        <v>27000</v>
      </c>
      <c r="K45" s="666">
        <v>20000</v>
      </c>
      <c r="L45" s="151">
        <f t="shared" si="21"/>
        <v>231096</v>
      </c>
      <c r="M45" s="151">
        <f t="shared" si="22"/>
        <v>173322</v>
      </c>
      <c r="N45" s="151">
        <f t="shared" si="24"/>
        <v>19258</v>
      </c>
      <c r="O45" s="718">
        <f t="shared" si="25"/>
        <v>192580</v>
      </c>
      <c r="P45" s="90"/>
      <c r="Q45" s="99"/>
      <c r="R45" s="673">
        <v>8935</v>
      </c>
      <c r="S45" s="673">
        <v>27000</v>
      </c>
      <c r="T45" s="673">
        <v>900</v>
      </c>
      <c r="U45" s="673"/>
      <c r="V45" s="673">
        <f>175+300</f>
        <v>475</v>
      </c>
      <c r="W45" s="673">
        <v>3150</v>
      </c>
      <c r="X45" s="673">
        <f>10055+17776</f>
        <v>27831</v>
      </c>
      <c r="Y45" s="99">
        <v>27000</v>
      </c>
      <c r="Z45" s="99"/>
      <c r="AA45" s="99"/>
      <c r="AB45" s="673">
        <f t="shared" si="15"/>
        <v>68291</v>
      </c>
      <c r="AC45" s="673">
        <f t="shared" si="16"/>
        <v>27000</v>
      </c>
      <c r="AD45" s="718">
        <f t="shared" si="18"/>
        <v>95291</v>
      </c>
      <c r="AE45" s="718">
        <f t="shared" si="19"/>
        <v>97289</v>
      </c>
      <c r="AF45" s="475">
        <f t="shared" si="20"/>
        <v>135805</v>
      </c>
    </row>
    <row r="46" spans="1:32" x14ac:dyDescent="0.25">
      <c r="A46" s="581" t="s">
        <v>277</v>
      </c>
      <c r="B46" s="214"/>
      <c r="C46" s="58"/>
      <c r="D46" s="666"/>
      <c r="E46" s="666"/>
      <c r="F46" s="666"/>
      <c r="G46" s="666"/>
      <c r="H46" s="666"/>
      <c r="I46" s="666"/>
      <c r="J46" s="666"/>
      <c r="K46" s="666"/>
      <c r="L46" s="151">
        <f t="shared" si="21"/>
        <v>0</v>
      </c>
      <c r="M46" s="151">
        <f t="shared" si="22"/>
        <v>0</v>
      </c>
      <c r="N46" s="151">
        <f t="shared" si="24"/>
        <v>0</v>
      </c>
      <c r="O46" s="718">
        <f t="shared" si="25"/>
        <v>0</v>
      </c>
      <c r="P46" s="90"/>
      <c r="Q46" s="99"/>
      <c r="R46" s="673"/>
      <c r="S46" s="673"/>
      <c r="T46" s="673"/>
      <c r="U46" s="673"/>
      <c r="V46" s="673"/>
      <c r="W46" s="673"/>
      <c r="X46" s="673"/>
      <c r="Y46" s="99"/>
      <c r="Z46" s="99"/>
      <c r="AA46" s="99"/>
      <c r="AB46" s="673">
        <f t="shared" si="15"/>
        <v>0</v>
      </c>
      <c r="AC46" s="673">
        <f t="shared" si="16"/>
        <v>0</v>
      </c>
      <c r="AD46" s="718">
        <f t="shared" si="18"/>
        <v>0</v>
      </c>
      <c r="AE46" s="718">
        <f t="shared" si="19"/>
        <v>0</v>
      </c>
      <c r="AF46" s="475">
        <f t="shared" si="20"/>
        <v>0</v>
      </c>
    </row>
    <row r="47" spans="1:32" x14ac:dyDescent="0.25">
      <c r="A47" s="583" t="s">
        <v>773</v>
      </c>
      <c r="B47" s="214" t="s">
        <v>56</v>
      </c>
      <c r="C47" s="58">
        <v>300000</v>
      </c>
      <c r="D47" s="666"/>
      <c r="E47" s="666"/>
      <c r="F47" s="666"/>
      <c r="G47" s="666"/>
      <c r="H47" s="666"/>
      <c r="I47" s="666"/>
      <c r="J47" s="666"/>
      <c r="K47" s="666"/>
      <c r="L47" s="151">
        <f t="shared" si="21"/>
        <v>300000</v>
      </c>
      <c r="M47" s="151">
        <f t="shared" si="22"/>
        <v>225000</v>
      </c>
      <c r="N47" s="151">
        <f t="shared" si="24"/>
        <v>25000</v>
      </c>
      <c r="O47" s="718">
        <f t="shared" si="25"/>
        <v>250000</v>
      </c>
      <c r="P47" s="90"/>
      <c r="Q47" s="99"/>
      <c r="R47" s="673"/>
      <c r="S47" s="673">
        <v>145304</v>
      </c>
      <c r="T47" s="673"/>
      <c r="U47" s="673"/>
      <c r="V47" s="673"/>
      <c r="W47" s="673"/>
      <c r="X47" s="673"/>
      <c r="Y47" s="99"/>
      <c r="Z47" s="99"/>
      <c r="AA47" s="99"/>
      <c r="AB47" s="673">
        <f t="shared" si="15"/>
        <v>145304</v>
      </c>
      <c r="AC47" s="673">
        <f t="shared" si="16"/>
        <v>0</v>
      </c>
      <c r="AD47" s="718">
        <f t="shared" si="18"/>
        <v>145304</v>
      </c>
      <c r="AE47" s="718">
        <f t="shared" si="19"/>
        <v>104696</v>
      </c>
      <c r="AF47" s="475">
        <f t="shared" si="20"/>
        <v>154696</v>
      </c>
    </row>
    <row r="48" spans="1:32" x14ac:dyDescent="0.25">
      <c r="A48" s="582" t="s">
        <v>774</v>
      </c>
      <c r="B48" s="214"/>
      <c r="C48" s="58">
        <v>20000</v>
      </c>
      <c r="D48" s="666"/>
      <c r="E48" s="666"/>
      <c r="F48" s="666"/>
      <c r="G48" s="666"/>
      <c r="H48" s="666"/>
      <c r="I48" s="666"/>
      <c r="J48" s="666"/>
      <c r="K48" s="666"/>
      <c r="L48" s="151">
        <f t="shared" si="21"/>
        <v>20000</v>
      </c>
      <c r="M48" s="151">
        <f t="shared" si="22"/>
        <v>15000</v>
      </c>
      <c r="N48" s="151">
        <f t="shared" si="24"/>
        <v>1666.6666666666667</v>
      </c>
      <c r="O48" s="718">
        <f t="shared" si="25"/>
        <v>16666.666666666668</v>
      </c>
      <c r="P48" s="90"/>
      <c r="Q48" s="99"/>
      <c r="R48" s="673"/>
      <c r="S48" s="673"/>
      <c r="T48" s="673">
        <v>8735</v>
      </c>
      <c r="U48" s="673"/>
      <c r="V48" s="673"/>
      <c r="W48" s="673"/>
      <c r="X48" s="673"/>
      <c r="Y48" s="99"/>
      <c r="Z48" s="99"/>
      <c r="AA48" s="99"/>
      <c r="AB48" s="673">
        <f t="shared" si="15"/>
        <v>8735</v>
      </c>
      <c r="AC48" s="673">
        <f t="shared" si="16"/>
        <v>0</v>
      </c>
      <c r="AD48" s="718">
        <f t="shared" si="18"/>
        <v>8735</v>
      </c>
      <c r="AE48" s="718">
        <f t="shared" si="19"/>
        <v>7931.6666666666679</v>
      </c>
      <c r="AF48" s="475">
        <f t="shared" si="20"/>
        <v>11265</v>
      </c>
    </row>
    <row r="49" spans="1:32" x14ac:dyDescent="0.25">
      <c r="A49" s="582" t="s">
        <v>775</v>
      </c>
      <c r="B49" s="214" t="s">
        <v>60</v>
      </c>
      <c r="C49" s="58">
        <v>20000</v>
      </c>
      <c r="D49" s="666"/>
      <c r="E49" s="666"/>
      <c r="F49" s="666"/>
      <c r="G49" s="666"/>
      <c r="H49" s="666"/>
      <c r="I49" s="666"/>
      <c r="J49" s="666"/>
      <c r="K49" s="666"/>
      <c r="L49" s="151">
        <f t="shared" si="21"/>
        <v>20000</v>
      </c>
      <c r="M49" s="151">
        <f t="shared" si="22"/>
        <v>15000</v>
      </c>
      <c r="N49" s="151">
        <f t="shared" si="24"/>
        <v>1666.6666666666667</v>
      </c>
      <c r="O49" s="718">
        <f t="shared" si="25"/>
        <v>16666.666666666668</v>
      </c>
      <c r="P49" s="47"/>
      <c r="Q49" s="99"/>
      <c r="R49" s="673"/>
      <c r="S49" s="673"/>
      <c r="T49" s="673">
        <v>10000</v>
      </c>
      <c r="U49" s="673"/>
      <c r="V49" s="673"/>
      <c r="W49" s="673"/>
      <c r="X49" s="673"/>
      <c r="Y49" s="99"/>
      <c r="Z49" s="99"/>
      <c r="AA49" s="99"/>
      <c r="AB49" s="673">
        <f t="shared" si="15"/>
        <v>10000</v>
      </c>
      <c r="AC49" s="673">
        <f t="shared" si="16"/>
        <v>0</v>
      </c>
      <c r="AD49" s="718">
        <f t="shared" si="18"/>
        <v>10000</v>
      </c>
      <c r="AE49" s="718">
        <f t="shared" si="19"/>
        <v>6666.6666666666679</v>
      </c>
      <c r="AF49" s="475">
        <f t="shared" si="20"/>
        <v>10000</v>
      </c>
    </row>
    <row r="50" spans="1:32" x14ac:dyDescent="0.25">
      <c r="A50" s="582" t="s">
        <v>776</v>
      </c>
      <c r="B50" s="214" t="s">
        <v>62</v>
      </c>
      <c r="C50" s="58">
        <v>20000</v>
      </c>
      <c r="D50" s="666"/>
      <c r="E50" s="666"/>
      <c r="F50" s="666"/>
      <c r="G50" s="666"/>
      <c r="H50" s="666"/>
      <c r="I50" s="666"/>
      <c r="J50" s="666"/>
      <c r="K50" s="666"/>
      <c r="L50" s="151">
        <f t="shared" si="21"/>
        <v>20000</v>
      </c>
      <c r="M50" s="151">
        <f t="shared" si="22"/>
        <v>15000</v>
      </c>
      <c r="N50" s="151">
        <f t="shared" si="24"/>
        <v>1666.6666666666667</v>
      </c>
      <c r="O50" s="718">
        <f t="shared" si="25"/>
        <v>16666.666666666668</v>
      </c>
      <c r="P50" s="47"/>
      <c r="Q50" s="99"/>
      <c r="R50" s="673"/>
      <c r="S50" s="673"/>
      <c r="T50" s="673"/>
      <c r="U50" s="673"/>
      <c r="V50" s="673"/>
      <c r="W50" s="673"/>
      <c r="X50" s="673"/>
      <c r="Y50" s="99"/>
      <c r="Z50" s="99"/>
      <c r="AA50" s="99"/>
      <c r="AB50" s="673">
        <f t="shared" si="15"/>
        <v>0</v>
      </c>
      <c r="AC50" s="673">
        <f t="shared" si="16"/>
        <v>0</v>
      </c>
      <c r="AD50" s="718">
        <f t="shared" si="18"/>
        <v>0</v>
      </c>
      <c r="AE50" s="718">
        <f t="shared" si="19"/>
        <v>16666.666666666668</v>
      </c>
      <c r="AF50" s="475">
        <f t="shared" si="20"/>
        <v>20000</v>
      </c>
    </row>
    <row r="51" spans="1:32" x14ac:dyDescent="0.25">
      <c r="A51" s="582" t="s">
        <v>777</v>
      </c>
      <c r="B51" s="214" t="s">
        <v>70</v>
      </c>
      <c r="C51" s="58">
        <v>40000</v>
      </c>
      <c r="D51" s="666"/>
      <c r="E51" s="666"/>
      <c r="F51" s="666"/>
      <c r="G51" s="666"/>
      <c r="H51" s="666"/>
      <c r="I51" s="666"/>
      <c r="J51" s="666"/>
      <c r="K51" s="666"/>
      <c r="L51" s="151">
        <f t="shared" si="21"/>
        <v>40000</v>
      </c>
      <c r="M51" s="151">
        <f t="shared" si="22"/>
        <v>30000</v>
      </c>
      <c r="N51" s="151">
        <f t="shared" si="24"/>
        <v>3333.3333333333335</v>
      </c>
      <c r="O51" s="718">
        <f t="shared" si="25"/>
        <v>33333.333333333336</v>
      </c>
      <c r="P51" s="58"/>
      <c r="Q51" s="211"/>
      <c r="R51" s="373"/>
      <c r="S51" s="373"/>
      <c r="T51" s="373">
        <v>39895</v>
      </c>
      <c r="U51" s="373"/>
      <c r="V51" s="666"/>
      <c r="W51" s="373"/>
      <c r="X51" s="373"/>
      <c r="Y51" s="211"/>
      <c r="Z51" s="211"/>
      <c r="AA51" s="211"/>
      <c r="AB51" s="673">
        <f t="shared" si="15"/>
        <v>39895</v>
      </c>
      <c r="AC51" s="673">
        <f t="shared" si="16"/>
        <v>0</v>
      </c>
      <c r="AD51" s="718">
        <f t="shared" si="18"/>
        <v>39895</v>
      </c>
      <c r="AE51" s="718">
        <f t="shared" si="19"/>
        <v>-6561.6666666666642</v>
      </c>
      <c r="AF51" s="475">
        <f t="shared" si="20"/>
        <v>105</v>
      </c>
    </row>
    <row r="52" spans="1:32" x14ac:dyDescent="0.25">
      <c r="A52" s="582" t="s">
        <v>778</v>
      </c>
      <c r="B52" s="214"/>
      <c r="C52" s="58"/>
      <c r="D52" s="666"/>
      <c r="E52" s="666"/>
      <c r="F52" s="666"/>
      <c r="G52" s="666"/>
      <c r="H52" s="666"/>
      <c r="I52" s="666"/>
      <c r="J52" s="666"/>
      <c r="K52" s="666"/>
      <c r="L52" s="151">
        <f t="shared" si="21"/>
        <v>0</v>
      </c>
      <c r="M52" s="151">
        <f t="shared" si="22"/>
        <v>0</v>
      </c>
      <c r="N52" s="151">
        <f t="shared" si="24"/>
        <v>0</v>
      </c>
      <c r="O52" s="718">
        <f t="shared" si="25"/>
        <v>0</v>
      </c>
      <c r="P52" s="77"/>
      <c r="Q52" s="77"/>
      <c r="R52" s="725"/>
      <c r="S52" s="725"/>
      <c r="T52" s="725"/>
      <c r="U52" s="725"/>
      <c r="V52" s="718"/>
      <c r="W52" s="725"/>
      <c r="X52" s="725"/>
      <c r="Y52" s="77"/>
      <c r="Z52" s="77"/>
      <c r="AA52" s="77"/>
      <c r="AB52" s="673">
        <f t="shared" si="15"/>
        <v>0</v>
      </c>
      <c r="AC52" s="673">
        <f t="shared" si="16"/>
        <v>0</v>
      </c>
      <c r="AD52" s="718">
        <f t="shared" si="18"/>
        <v>0</v>
      </c>
      <c r="AE52" s="718">
        <f t="shared" si="19"/>
        <v>0</v>
      </c>
      <c r="AF52" s="475">
        <f t="shared" si="20"/>
        <v>0</v>
      </c>
    </row>
    <row r="53" spans="1:32" x14ac:dyDescent="0.25">
      <c r="A53" s="581" t="s">
        <v>1333</v>
      </c>
      <c r="B53" s="214" t="s">
        <v>225</v>
      </c>
      <c r="C53" s="58"/>
      <c r="D53" s="666"/>
      <c r="E53" s="666"/>
      <c r="F53" s="666"/>
      <c r="G53" s="666"/>
      <c r="H53" s="666"/>
      <c r="I53" s="666"/>
      <c r="J53" s="666"/>
      <c r="K53" s="666"/>
      <c r="L53" s="151">
        <f t="shared" si="21"/>
        <v>0</v>
      </c>
      <c r="M53" s="151">
        <f t="shared" si="22"/>
        <v>0</v>
      </c>
      <c r="N53" s="151">
        <f t="shared" si="24"/>
        <v>0</v>
      </c>
      <c r="O53" s="718">
        <f t="shared" si="25"/>
        <v>0</v>
      </c>
      <c r="P53" s="77"/>
      <c r="Q53" s="77"/>
      <c r="R53" s="725"/>
      <c r="S53" s="725"/>
      <c r="T53" s="725"/>
      <c r="U53" s="725"/>
      <c r="V53" s="718"/>
      <c r="W53" s="725"/>
      <c r="X53" s="725"/>
      <c r="Y53" s="77"/>
      <c r="Z53" s="77"/>
      <c r="AA53" s="77"/>
      <c r="AB53" s="673">
        <f t="shared" si="15"/>
        <v>0</v>
      </c>
      <c r="AC53" s="673">
        <f t="shared" si="16"/>
        <v>0</v>
      </c>
      <c r="AD53" s="718">
        <f t="shared" si="18"/>
        <v>0</v>
      </c>
      <c r="AE53" s="718">
        <f t="shared" si="19"/>
        <v>0</v>
      </c>
      <c r="AF53" s="475">
        <f t="shared" si="20"/>
        <v>0</v>
      </c>
    </row>
    <row r="54" spans="1:32" x14ac:dyDescent="0.25">
      <c r="A54" s="582" t="s">
        <v>779</v>
      </c>
      <c r="B54" s="214" t="s">
        <v>158</v>
      </c>
      <c r="C54" s="58">
        <f>80000-20000</f>
        <v>60000</v>
      </c>
      <c r="D54" s="666"/>
      <c r="E54" s="666"/>
      <c r="F54" s="666"/>
      <c r="G54" s="666"/>
      <c r="H54" s="666"/>
      <c r="I54" s="666"/>
      <c r="J54" s="666"/>
      <c r="K54" s="666">
        <v>170000</v>
      </c>
      <c r="L54" s="151">
        <f t="shared" si="21"/>
        <v>230000</v>
      </c>
      <c r="M54" s="151">
        <f t="shared" si="22"/>
        <v>172500</v>
      </c>
      <c r="N54" s="151">
        <f t="shared" si="24"/>
        <v>19166.666666666668</v>
      </c>
      <c r="O54" s="718">
        <f t="shared" si="25"/>
        <v>191666.66666666666</v>
      </c>
      <c r="P54" s="77"/>
      <c r="Q54" s="584"/>
      <c r="R54" s="725"/>
      <c r="S54" s="725"/>
      <c r="T54" s="718">
        <v>44685</v>
      </c>
      <c r="U54" s="725"/>
      <c r="V54" s="718">
        <v>169970</v>
      </c>
      <c r="W54" s="725"/>
      <c r="X54" s="725"/>
      <c r="Y54" s="584"/>
      <c r="Z54" s="584"/>
      <c r="AA54" s="584"/>
      <c r="AB54" s="673">
        <f t="shared" si="15"/>
        <v>214655</v>
      </c>
      <c r="AC54" s="673">
        <f t="shared" si="16"/>
        <v>0</v>
      </c>
      <c r="AD54" s="718">
        <f t="shared" si="18"/>
        <v>214655</v>
      </c>
      <c r="AE54" s="718">
        <f t="shared" si="19"/>
        <v>-22988.333333333343</v>
      </c>
      <c r="AF54" s="475">
        <f t="shared" si="20"/>
        <v>15345</v>
      </c>
    </row>
    <row r="55" spans="1:32" x14ac:dyDescent="0.25">
      <c r="A55" s="582" t="s">
        <v>1353</v>
      </c>
      <c r="B55" s="214"/>
      <c r="C55" s="666"/>
      <c r="D55" s="666"/>
      <c r="E55" s="666"/>
      <c r="F55" s="666"/>
      <c r="G55" s="666">
        <v>121884</v>
      </c>
      <c r="H55" s="666"/>
      <c r="I55" s="666"/>
      <c r="J55" s="666"/>
      <c r="K55" s="666"/>
      <c r="L55" s="151">
        <f t="shared" si="21"/>
        <v>121884</v>
      </c>
      <c r="M55" s="151">
        <f t="shared" si="22"/>
        <v>91413</v>
      </c>
      <c r="N55" s="151">
        <f t="shared" ref="N55" si="26">L55/12</f>
        <v>10157</v>
      </c>
      <c r="O55" s="718">
        <f t="shared" ref="O55" si="27">M55+N55</f>
        <v>101570</v>
      </c>
      <c r="P55" s="725"/>
      <c r="Q55" s="584"/>
      <c r="R55" s="725"/>
      <c r="S55" s="725"/>
      <c r="T55" s="718"/>
      <c r="U55" s="725"/>
      <c r="V55" s="718"/>
      <c r="W55" s="725"/>
      <c r="X55" s="725"/>
      <c r="Y55" s="584"/>
      <c r="Z55" s="584"/>
      <c r="AA55" s="584"/>
      <c r="AB55" s="673">
        <f t="shared" si="15"/>
        <v>0</v>
      </c>
      <c r="AC55" s="673">
        <f t="shared" si="16"/>
        <v>0</v>
      </c>
      <c r="AD55" s="718">
        <f t="shared" ref="AD55:AD56" si="28">AB55+AC55</f>
        <v>0</v>
      </c>
      <c r="AE55" s="718">
        <f t="shared" ref="AE55:AE56" si="29">O55-AD55</f>
        <v>101570</v>
      </c>
      <c r="AF55" s="475">
        <f t="shared" ref="AF55:AF56" si="30">L55-AD55</f>
        <v>121884</v>
      </c>
    </row>
    <row r="56" spans="1:32" x14ac:dyDescent="0.25">
      <c r="A56" s="582" t="s">
        <v>778</v>
      </c>
      <c r="B56" s="585" t="s">
        <v>76</v>
      </c>
      <c r="C56" s="58"/>
      <c r="D56" s="666"/>
      <c r="E56" s="666"/>
      <c r="F56" s="666"/>
      <c r="G56" s="666"/>
      <c r="H56" s="666"/>
      <c r="I56" s="666"/>
      <c r="J56" s="666"/>
      <c r="K56" s="666"/>
      <c r="L56" s="151">
        <f t="shared" si="21"/>
        <v>0</v>
      </c>
      <c r="M56" s="151">
        <f t="shared" si="22"/>
        <v>0</v>
      </c>
      <c r="N56" s="151">
        <f t="shared" si="24"/>
        <v>0</v>
      </c>
      <c r="O56" s="718">
        <f t="shared" si="25"/>
        <v>0</v>
      </c>
      <c r="P56" s="90"/>
      <c r="Q56" s="99"/>
      <c r="R56" s="673"/>
      <c r="S56" s="673"/>
      <c r="T56" s="673"/>
      <c r="U56" s="673"/>
      <c r="V56" s="673"/>
      <c r="W56" s="673"/>
      <c r="X56" s="673"/>
      <c r="Y56" s="99"/>
      <c r="Z56" s="99"/>
      <c r="AA56" s="99"/>
      <c r="AB56" s="673">
        <f t="shared" si="15"/>
        <v>0</v>
      </c>
      <c r="AC56" s="673">
        <f t="shared" si="16"/>
        <v>0</v>
      </c>
      <c r="AD56" s="718">
        <f t="shared" si="28"/>
        <v>0</v>
      </c>
      <c r="AE56" s="718">
        <f t="shared" si="29"/>
        <v>0</v>
      </c>
      <c r="AF56" s="475">
        <f t="shared" si="30"/>
        <v>0</v>
      </c>
    </row>
    <row r="57" spans="1:32" x14ac:dyDescent="0.25">
      <c r="A57" s="430" t="s">
        <v>780</v>
      </c>
      <c r="B57" s="585" t="s">
        <v>76</v>
      </c>
      <c r="C57" s="58"/>
      <c r="D57" s="666"/>
      <c r="E57" s="666"/>
      <c r="F57" s="666"/>
      <c r="G57" s="666"/>
      <c r="H57" s="666"/>
      <c r="I57" s="666"/>
      <c r="J57" s="666"/>
      <c r="K57" s="666"/>
      <c r="L57" s="151">
        <f t="shared" si="21"/>
        <v>0</v>
      </c>
      <c r="M57" s="151">
        <f t="shared" si="22"/>
        <v>0</v>
      </c>
      <c r="N57" s="151">
        <f t="shared" si="24"/>
        <v>0</v>
      </c>
      <c r="O57" s="718">
        <f t="shared" si="25"/>
        <v>0</v>
      </c>
      <c r="P57" s="90"/>
      <c r="Q57" s="99"/>
      <c r="R57" s="673"/>
      <c r="S57" s="673"/>
      <c r="T57" s="673"/>
      <c r="U57" s="673"/>
      <c r="V57" s="673"/>
      <c r="W57" s="673"/>
      <c r="X57" s="673"/>
      <c r="Y57" s="99"/>
      <c r="Z57" s="99"/>
      <c r="AA57" s="99"/>
      <c r="AB57" s="673">
        <f t="shared" si="15"/>
        <v>0</v>
      </c>
      <c r="AC57" s="673">
        <f t="shared" si="16"/>
        <v>0</v>
      </c>
      <c r="AD57" s="718">
        <f t="shared" si="18"/>
        <v>0</v>
      </c>
      <c r="AE57" s="718">
        <f t="shared" si="19"/>
        <v>0</v>
      </c>
      <c r="AF57" s="475">
        <f t="shared" si="20"/>
        <v>0</v>
      </c>
    </row>
    <row r="58" spans="1:32" x14ac:dyDescent="0.25">
      <c r="A58" s="586" t="s">
        <v>781</v>
      </c>
      <c r="B58" s="214"/>
      <c r="C58" s="58">
        <f>50000+182600-45600-30600</f>
        <v>156400</v>
      </c>
      <c r="D58" s="666"/>
      <c r="E58" s="666"/>
      <c r="F58" s="666">
        <v>200000</v>
      </c>
      <c r="G58" s="666"/>
      <c r="H58" s="666"/>
      <c r="I58" s="666"/>
      <c r="J58" s="666"/>
      <c r="K58" s="666"/>
      <c r="L58" s="151">
        <f t="shared" si="21"/>
        <v>356400</v>
      </c>
      <c r="M58" s="151">
        <f t="shared" si="22"/>
        <v>267300</v>
      </c>
      <c r="N58" s="151">
        <f t="shared" si="24"/>
        <v>29700</v>
      </c>
      <c r="O58" s="718">
        <f t="shared" si="25"/>
        <v>297000</v>
      </c>
      <c r="P58" s="90"/>
      <c r="Q58" s="99"/>
      <c r="R58" s="673">
        <v>38722.18</v>
      </c>
      <c r="S58" s="673">
        <v>79241.929999999993</v>
      </c>
      <c r="T58" s="673"/>
      <c r="U58" s="673"/>
      <c r="V58" s="673"/>
      <c r="W58" s="673">
        <f>38644.44-2949</f>
        <v>35695.440000000002</v>
      </c>
      <c r="X58" s="673"/>
      <c r="Y58" s="99">
        <v>8700</v>
      </c>
      <c r="Z58" s="99"/>
      <c r="AA58" s="99"/>
      <c r="AB58" s="673">
        <f t="shared" si="15"/>
        <v>153659.54999999999</v>
      </c>
      <c r="AC58" s="673">
        <f t="shared" si="16"/>
        <v>8700</v>
      </c>
      <c r="AD58" s="718">
        <f t="shared" si="18"/>
        <v>162359.54999999999</v>
      </c>
      <c r="AE58" s="718">
        <f t="shared" si="19"/>
        <v>134640.45000000001</v>
      </c>
      <c r="AF58" s="475">
        <f t="shared" si="20"/>
        <v>194040.45</v>
      </c>
    </row>
    <row r="59" spans="1:32" x14ac:dyDescent="0.25">
      <c r="A59" s="581" t="s">
        <v>542</v>
      </c>
      <c r="B59" s="214" t="s">
        <v>79</v>
      </c>
      <c r="C59" s="58"/>
      <c r="D59" s="666"/>
      <c r="E59" s="666"/>
      <c r="F59" s="666"/>
      <c r="G59" s="666">
        <v>7400</v>
      </c>
      <c r="H59" s="666"/>
      <c r="I59" s="666"/>
      <c r="J59" s="666"/>
      <c r="K59" s="666"/>
      <c r="L59" s="151">
        <f t="shared" si="21"/>
        <v>7400</v>
      </c>
      <c r="M59" s="151">
        <f t="shared" si="22"/>
        <v>5550</v>
      </c>
      <c r="N59" s="151">
        <f t="shared" si="24"/>
        <v>616.66666666666663</v>
      </c>
      <c r="O59" s="718">
        <f t="shared" si="25"/>
        <v>6166.666666666667</v>
      </c>
      <c r="P59" s="90"/>
      <c r="Q59" s="99"/>
      <c r="R59" s="673"/>
      <c r="S59" s="673"/>
      <c r="T59" s="673"/>
      <c r="U59" s="673"/>
      <c r="V59" s="673"/>
      <c r="W59" s="673"/>
      <c r="X59" s="673"/>
      <c r="Y59" s="99"/>
      <c r="Z59" s="99"/>
      <c r="AA59" s="99"/>
      <c r="AB59" s="673">
        <f t="shared" si="15"/>
        <v>0</v>
      </c>
      <c r="AC59" s="673">
        <f t="shared" si="16"/>
        <v>0</v>
      </c>
      <c r="AD59" s="718">
        <f t="shared" si="18"/>
        <v>0</v>
      </c>
      <c r="AE59" s="718">
        <f t="shared" si="19"/>
        <v>6166.666666666667</v>
      </c>
      <c r="AF59" s="475">
        <f t="shared" si="20"/>
        <v>7400</v>
      </c>
    </row>
    <row r="60" spans="1:32" hidden="1" x14ac:dyDescent="0.25">
      <c r="A60" s="582" t="s">
        <v>782</v>
      </c>
      <c r="B60" s="214" t="s">
        <v>81</v>
      </c>
      <c r="C60" s="58"/>
      <c r="D60" s="666"/>
      <c r="E60" s="666"/>
      <c r="F60" s="666"/>
      <c r="G60" s="666"/>
      <c r="H60" s="666"/>
      <c r="I60" s="666"/>
      <c r="J60" s="666"/>
      <c r="K60" s="666"/>
      <c r="L60" s="151">
        <f t="shared" si="21"/>
        <v>0</v>
      </c>
      <c r="M60" s="151">
        <f t="shared" si="22"/>
        <v>0</v>
      </c>
      <c r="N60" s="151">
        <f t="shared" si="24"/>
        <v>0</v>
      </c>
      <c r="O60" s="718">
        <f t="shared" si="25"/>
        <v>0</v>
      </c>
      <c r="P60" s="90"/>
      <c r="Q60" s="99"/>
      <c r="R60" s="673"/>
      <c r="S60" s="673"/>
      <c r="T60" s="673"/>
      <c r="U60" s="673"/>
      <c r="V60" s="673"/>
      <c r="W60" s="673"/>
      <c r="X60" s="673"/>
      <c r="Y60" s="99"/>
      <c r="Z60" s="99"/>
      <c r="AA60" s="99"/>
      <c r="AB60" s="673">
        <f t="shared" si="15"/>
        <v>0</v>
      </c>
      <c r="AC60" s="673">
        <f t="shared" si="16"/>
        <v>0</v>
      </c>
      <c r="AD60" s="718">
        <f t="shared" si="18"/>
        <v>0</v>
      </c>
      <c r="AE60" s="718">
        <f t="shared" si="19"/>
        <v>0</v>
      </c>
      <c r="AF60" s="475">
        <f t="shared" si="20"/>
        <v>0</v>
      </c>
    </row>
    <row r="61" spans="1:32" x14ac:dyDescent="0.25">
      <c r="A61" s="581" t="s">
        <v>481</v>
      </c>
      <c r="B61" s="214"/>
      <c r="C61" s="58">
        <f>84000-6000</f>
        <v>78000</v>
      </c>
      <c r="D61" s="666"/>
      <c r="E61" s="666"/>
      <c r="F61" s="666"/>
      <c r="G61" s="666"/>
      <c r="H61" s="666"/>
      <c r="I61" s="666"/>
      <c r="J61" s="666"/>
      <c r="K61" s="666">
        <v>20000</v>
      </c>
      <c r="L61" s="151">
        <f t="shared" si="21"/>
        <v>98000</v>
      </c>
      <c r="M61" s="151">
        <f t="shared" si="22"/>
        <v>73500</v>
      </c>
      <c r="N61" s="151">
        <f t="shared" si="24"/>
        <v>8166.666666666667</v>
      </c>
      <c r="O61" s="718">
        <f t="shared" si="25"/>
        <v>81666.666666666672</v>
      </c>
      <c r="P61" s="90"/>
      <c r="Q61" s="99">
        <v>10999</v>
      </c>
      <c r="R61" s="673">
        <v>6999</v>
      </c>
      <c r="S61" s="673">
        <v>4999</v>
      </c>
      <c r="T61" s="673">
        <v>12999</v>
      </c>
      <c r="U61" s="673">
        <v>12999</v>
      </c>
      <c r="V61" s="673">
        <v>8999</v>
      </c>
      <c r="W61" s="673">
        <v>999</v>
      </c>
      <c r="X61" s="673">
        <v>8999</v>
      </c>
      <c r="Y61" s="99">
        <v>10998</v>
      </c>
      <c r="Z61" s="99"/>
      <c r="AA61" s="99"/>
      <c r="AB61" s="673">
        <f t="shared" si="15"/>
        <v>67992</v>
      </c>
      <c r="AC61" s="673">
        <f t="shared" si="16"/>
        <v>10998</v>
      </c>
      <c r="AD61" s="718">
        <f t="shared" si="18"/>
        <v>78990</v>
      </c>
      <c r="AE61" s="718">
        <f t="shared" si="19"/>
        <v>2676.6666666666715</v>
      </c>
      <c r="AF61" s="475">
        <f t="shared" si="20"/>
        <v>19010</v>
      </c>
    </row>
    <row r="62" spans="1:32" x14ac:dyDescent="0.25">
      <c r="A62" s="581" t="s">
        <v>61</v>
      </c>
      <c r="B62" s="214"/>
      <c r="C62" s="58">
        <v>18000</v>
      </c>
      <c r="D62" s="666"/>
      <c r="E62" s="666"/>
      <c r="F62" s="666"/>
      <c r="G62" s="666"/>
      <c r="H62" s="666"/>
      <c r="I62" s="666"/>
      <c r="J62" s="666"/>
      <c r="K62" s="666"/>
      <c r="L62" s="151">
        <f t="shared" si="21"/>
        <v>18000</v>
      </c>
      <c r="M62" s="151">
        <f t="shared" si="22"/>
        <v>13500</v>
      </c>
      <c r="N62" s="151">
        <f t="shared" si="24"/>
        <v>1500</v>
      </c>
      <c r="O62" s="718">
        <f t="shared" si="25"/>
        <v>15000</v>
      </c>
      <c r="P62" s="90"/>
      <c r="Q62" s="99"/>
      <c r="R62" s="673">
        <v>2997</v>
      </c>
      <c r="S62" s="673"/>
      <c r="T62" s="673">
        <v>2997</v>
      </c>
      <c r="U62" s="673">
        <v>999</v>
      </c>
      <c r="V62" s="673">
        <v>999</v>
      </c>
      <c r="W62" s="673">
        <v>999</v>
      </c>
      <c r="X62" s="673">
        <v>999</v>
      </c>
      <c r="Y62" s="99">
        <v>999</v>
      </c>
      <c r="Z62" s="99"/>
      <c r="AA62" s="99"/>
      <c r="AB62" s="673">
        <f t="shared" si="15"/>
        <v>9990</v>
      </c>
      <c r="AC62" s="673">
        <f t="shared" si="16"/>
        <v>999</v>
      </c>
      <c r="AD62" s="718">
        <f t="shared" si="18"/>
        <v>10989</v>
      </c>
      <c r="AE62" s="718">
        <f t="shared" si="19"/>
        <v>4011</v>
      </c>
      <c r="AF62" s="475">
        <f t="shared" si="20"/>
        <v>7011</v>
      </c>
    </row>
    <row r="63" spans="1:32" x14ac:dyDescent="0.25">
      <c r="A63" s="581" t="s">
        <v>783</v>
      </c>
      <c r="B63" s="214"/>
      <c r="C63" s="58">
        <v>5000</v>
      </c>
      <c r="D63" s="666"/>
      <c r="E63" s="666"/>
      <c r="F63" s="666"/>
      <c r="G63" s="666"/>
      <c r="H63" s="666"/>
      <c r="I63" s="666"/>
      <c r="J63" s="666"/>
      <c r="K63" s="666"/>
      <c r="L63" s="151">
        <f t="shared" si="21"/>
        <v>5000</v>
      </c>
      <c r="M63" s="151">
        <f t="shared" si="22"/>
        <v>3750</v>
      </c>
      <c r="N63" s="151">
        <f t="shared" si="24"/>
        <v>416.66666666666669</v>
      </c>
      <c r="O63" s="718">
        <f t="shared" si="25"/>
        <v>4166.666666666667</v>
      </c>
      <c r="P63" s="90"/>
      <c r="Q63" s="99"/>
      <c r="R63" s="673">
        <v>200</v>
      </c>
      <c r="S63" s="673"/>
      <c r="T63" s="673"/>
      <c r="U63" s="673"/>
      <c r="V63" s="673"/>
      <c r="W63" s="673"/>
      <c r="X63" s="673"/>
      <c r="Y63" s="99"/>
      <c r="Z63" s="99"/>
      <c r="AA63" s="99"/>
      <c r="AB63" s="673">
        <f t="shared" si="15"/>
        <v>200</v>
      </c>
      <c r="AC63" s="673">
        <f t="shared" si="16"/>
        <v>0</v>
      </c>
      <c r="AD63" s="718">
        <f t="shared" si="18"/>
        <v>200</v>
      </c>
      <c r="AE63" s="718">
        <f t="shared" si="19"/>
        <v>3966.666666666667</v>
      </c>
      <c r="AF63" s="475">
        <f t="shared" si="20"/>
        <v>4800</v>
      </c>
    </row>
    <row r="64" spans="1:32" x14ac:dyDescent="0.25">
      <c r="A64" s="581" t="s">
        <v>69</v>
      </c>
      <c r="B64" s="214"/>
      <c r="C64" s="58">
        <f>1807200+30600+168600</f>
        <v>2006400</v>
      </c>
      <c r="D64" s="666"/>
      <c r="E64" s="666"/>
      <c r="F64" s="666"/>
      <c r="G64" s="666"/>
      <c r="H64" s="666"/>
      <c r="I64" s="666"/>
      <c r="J64" s="666"/>
      <c r="K64" s="666"/>
      <c r="L64" s="151">
        <f t="shared" si="21"/>
        <v>2006400</v>
      </c>
      <c r="M64" s="151">
        <f t="shared" si="22"/>
        <v>1504800</v>
      </c>
      <c r="N64" s="151">
        <f t="shared" si="24"/>
        <v>167200</v>
      </c>
      <c r="O64" s="718">
        <f t="shared" si="25"/>
        <v>1672000</v>
      </c>
      <c r="P64" s="43">
        <v>77652.73</v>
      </c>
      <c r="Q64" s="43">
        <v>124242.04</v>
      </c>
      <c r="R64" s="718">
        <v>176151.34</v>
      </c>
      <c r="S64" s="718">
        <v>160467.22</v>
      </c>
      <c r="T64" s="718">
        <v>136645.46</v>
      </c>
      <c r="U64" s="673">
        <v>145332.73000000001</v>
      </c>
      <c r="V64" s="673">
        <v>96954.55</v>
      </c>
      <c r="W64" s="673">
        <v>153800</v>
      </c>
      <c r="X64" s="673">
        <v>153800</v>
      </c>
      <c r="Y64" s="99">
        <v>149500</v>
      </c>
      <c r="Z64" s="99"/>
      <c r="AA64" s="99"/>
      <c r="AB64" s="673">
        <f t="shared" si="15"/>
        <v>1225046.0699999998</v>
      </c>
      <c r="AC64" s="673">
        <f t="shared" si="16"/>
        <v>149500</v>
      </c>
      <c r="AD64" s="718">
        <f t="shared" si="18"/>
        <v>1374546.0699999998</v>
      </c>
      <c r="AE64" s="718">
        <f>O64-AD64</f>
        <v>297453.93000000017</v>
      </c>
      <c r="AF64" s="475">
        <f t="shared" si="20"/>
        <v>631853.93000000017</v>
      </c>
    </row>
    <row r="65" spans="1:32" x14ac:dyDescent="0.25">
      <c r="A65" s="430" t="s">
        <v>283</v>
      </c>
      <c r="B65" s="214" t="s">
        <v>83</v>
      </c>
      <c r="C65" s="58">
        <f>79200+70800+7200</f>
        <v>157200</v>
      </c>
      <c r="D65" s="666"/>
      <c r="E65" s="666"/>
      <c r="F65" s="666"/>
      <c r="G65" s="666"/>
      <c r="H65" s="666"/>
      <c r="I65" s="666"/>
      <c r="J65" s="666"/>
      <c r="K65" s="666"/>
      <c r="L65" s="151">
        <f t="shared" si="21"/>
        <v>157200</v>
      </c>
      <c r="M65" s="151">
        <f t="shared" si="22"/>
        <v>117900</v>
      </c>
      <c r="N65" s="151">
        <f t="shared" si="24"/>
        <v>13100</v>
      </c>
      <c r="O65" s="718">
        <f t="shared" si="25"/>
        <v>131000</v>
      </c>
      <c r="P65" s="90">
        <v>8385.6200000000008</v>
      </c>
      <c r="Q65" s="99">
        <v>13200</v>
      </c>
      <c r="R65" s="673">
        <v>13200</v>
      </c>
      <c r="S65" s="673">
        <v>13200</v>
      </c>
      <c r="T65" s="673">
        <v>13200</v>
      </c>
      <c r="U65" s="673">
        <v>15000</v>
      </c>
      <c r="V65" s="673">
        <v>9600</v>
      </c>
      <c r="W65" s="673">
        <v>13200</v>
      </c>
      <c r="X65" s="673">
        <v>13200</v>
      </c>
      <c r="Y65" s="99">
        <v>13200</v>
      </c>
      <c r="Z65" s="99"/>
      <c r="AA65" s="99"/>
      <c r="AB65" s="673">
        <f t="shared" si="15"/>
        <v>112185.62</v>
      </c>
      <c r="AC65" s="673">
        <f t="shared" si="16"/>
        <v>13200</v>
      </c>
      <c r="AD65" s="718">
        <f t="shared" si="18"/>
        <v>125385.62</v>
      </c>
      <c r="AE65" s="718">
        <f t="shared" si="19"/>
        <v>5614.3800000000047</v>
      </c>
      <c r="AF65" s="475">
        <f t="shared" si="20"/>
        <v>31814.380000000005</v>
      </c>
    </row>
    <row r="66" spans="1:32" x14ac:dyDescent="0.25">
      <c r="A66" s="581" t="s">
        <v>784</v>
      </c>
      <c r="B66" s="214"/>
      <c r="C66" s="58"/>
      <c r="D66" s="666"/>
      <c r="E66" s="666"/>
      <c r="F66" s="666"/>
      <c r="G66" s="666"/>
      <c r="H66" s="666"/>
      <c r="I66" s="666"/>
      <c r="J66" s="666"/>
      <c r="K66" s="666"/>
      <c r="L66" s="151">
        <f t="shared" si="21"/>
        <v>0</v>
      </c>
      <c r="M66" s="151">
        <f t="shared" si="22"/>
        <v>0</v>
      </c>
      <c r="N66" s="151">
        <f t="shared" si="24"/>
        <v>0</v>
      </c>
      <c r="O66" s="718">
        <f t="shared" si="25"/>
        <v>0</v>
      </c>
      <c r="P66" s="90"/>
      <c r="Q66" s="99"/>
      <c r="R66" s="673"/>
      <c r="S66" s="673"/>
      <c r="T66" s="673"/>
      <c r="U66" s="673"/>
      <c r="V66" s="673"/>
      <c r="W66" s="673"/>
      <c r="X66" s="673"/>
      <c r="Y66" s="99"/>
      <c r="Z66" s="99"/>
      <c r="AA66" s="99"/>
      <c r="AB66" s="673">
        <f t="shared" si="15"/>
        <v>0</v>
      </c>
      <c r="AC66" s="673">
        <f t="shared" si="16"/>
        <v>0</v>
      </c>
      <c r="AD66" s="718">
        <f t="shared" si="18"/>
        <v>0</v>
      </c>
      <c r="AE66" s="718">
        <f t="shared" si="19"/>
        <v>0</v>
      </c>
      <c r="AF66" s="475">
        <f t="shared" si="20"/>
        <v>0</v>
      </c>
    </row>
    <row r="67" spans="1:32" x14ac:dyDescent="0.25">
      <c r="A67" s="582" t="s">
        <v>785</v>
      </c>
      <c r="B67" s="214" t="s">
        <v>93</v>
      </c>
      <c r="C67" s="58">
        <v>50000</v>
      </c>
      <c r="D67" s="666"/>
      <c r="E67" s="666"/>
      <c r="F67" s="666"/>
      <c r="G67" s="666"/>
      <c r="H67" s="666"/>
      <c r="I67" s="666"/>
      <c r="J67" s="666"/>
      <c r="K67" s="666"/>
      <c r="L67" s="151">
        <f t="shared" si="21"/>
        <v>50000</v>
      </c>
      <c r="M67" s="151">
        <f t="shared" si="22"/>
        <v>37500</v>
      </c>
      <c r="N67" s="151">
        <f t="shared" si="24"/>
        <v>4166.666666666667</v>
      </c>
      <c r="O67" s="718">
        <f t="shared" si="25"/>
        <v>41666.666666666664</v>
      </c>
      <c r="P67" s="90"/>
      <c r="Q67" s="99"/>
      <c r="R67" s="673"/>
      <c r="S67" s="673"/>
      <c r="T67" s="673"/>
      <c r="U67" s="673"/>
      <c r="V67" s="673"/>
      <c r="W67" s="673"/>
      <c r="X67" s="673"/>
      <c r="Y67" s="99"/>
      <c r="Z67" s="99"/>
      <c r="AA67" s="99"/>
      <c r="AB67" s="673">
        <f t="shared" si="15"/>
        <v>0</v>
      </c>
      <c r="AC67" s="673">
        <f t="shared" si="16"/>
        <v>0</v>
      </c>
      <c r="AD67" s="718">
        <f t="shared" si="18"/>
        <v>0</v>
      </c>
      <c r="AE67" s="718">
        <f t="shared" si="19"/>
        <v>41666.666666666664</v>
      </c>
      <c r="AF67" s="475">
        <f t="shared" si="20"/>
        <v>50000</v>
      </c>
    </row>
    <row r="68" spans="1:32" x14ac:dyDescent="0.25">
      <c r="A68" s="582" t="s">
        <v>786</v>
      </c>
      <c r="B68" s="214"/>
      <c r="C68" s="58">
        <v>50000</v>
      </c>
      <c r="D68" s="666"/>
      <c r="E68" s="666"/>
      <c r="F68" s="666"/>
      <c r="G68" s="666"/>
      <c r="H68" s="666"/>
      <c r="I68" s="666"/>
      <c r="J68" s="666"/>
      <c r="K68" s="666"/>
      <c r="L68" s="151">
        <f t="shared" ref="L68:L87" si="31">SUM(C68:K68)</f>
        <v>50000</v>
      </c>
      <c r="M68" s="151">
        <f t="shared" si="22"/>
        <v>37500</v>
      </c>
      <c r="N68" s="151">
        <f t="shared" si="24"/>
        <v>4166.666666666667</v>
      </c>
      <c r="O68" s="718">
        <f t="shared" si="25"/>
        <v>41666.666666666664</v>
      </c>
      <c r="P68" s="90"/>
      <c r="Q68" s="99"/>
      <c r="R68" s="673"/>
      <c r="S68" s="673"/>
      <c r="T68" s="673"/>
      <c r="U68" s="673"/>
      <c r="V68" s="673">
        <v>18800</v>
      </c>
      <c r="W68" s="673">
        <v>30680</v>
      </c>
      <c r="X68" s="673"/>
      <c r="Y68" s="99"/>
      <c r="Z68" s="99"/>
      <c r="AA68" s="99"/>
      <c r="AB68" s="673">
        <f t="shared" si="15"/>
        <v>49480</v>
      </c>
      <c r="AC68" s="673">
        <f t="shared" si="16"/>
        <v>0</v>
      </c>
      <c r="AD68" s="718">
        <f t="shared" si="18"/>
        <v>49480</v>
      </c>
      <c r="AE68" s="718">
        <f t="shared" si="19"/>
        <v>-7813.3333333333358</v>
      </c>
      <c r="AF68" s="475">
        <f t="shared" si="20"/>
        <v>520</v>
      </c>
    </row>
    <row r="69" spans="1:32" x14ac:dyDescent="0.25">
      <c r="A69" s="430" t="s">
        <v>721</v>
      </c>
      <c r="B69" s="214"/>
      <c r="C69" s="58"/>
      <c r="D69" s="666"/>
      <c r="E69" s="666"/>
      <c r="F69" s="666"/>
      <c r="G69" s="666"/>
      <c r="H69" s="666"/>
      <c r="I69" s="666"/>
      <c r="J69" s="666"/>
      <c r="K69" s="666"/>
      <c r="L69" s="151">
        <f t="shared" si="31"/>
        <v>0</v>
      </c>
      <c r="M69" s="151">
        <f t="shared" si="22"/>
        <v>0</v>
      </c>
      <c r="N69" s="151">
        <f t="shared" si="24"/>
        <v>0</v>
      </c>
      <c r="O69" s="718">
        <f t="shared" si="25"/>
        <v>0</v>
      </c>
      <c r="P69" s="90"/>
      <c r="Q69" s="99"/>
      <c r="R69" s="673"/>
      <c r="S69" s="673"/>
      <c r="T69" s="673"/>
      <c r="U69" s="673"/>
      <c r="V69" s="673"/>
      <c r="W69" s="673"/>
      <c r="X69" s="673"/>
      <c r="Y69" s="99"/>
      <c r="Z69" s="99"/>
      <c r="AA69" s="99"/>
      <c r="AB69" s="673">
        <f t="shared" si="15"/>
        <v>0</v>
      </c>
      <c r="AC69" s="673">
        <f t="shared" si="16"/>
        <v>0</v>
      </c>
      <c r="AD69" s="718">
        <f t="shared" si="18"/>
        <v>0</v>
      </c>
      <c r="AE69" s="718">
        <f t="shared" si="19"/>
        <v>0</v>
      </c>
      <c r="AF69" s="475">
        <f t="shared" si="20"/>
        <v>0</v>
      </c>
    </row>
    <row r="70" spans="1:32" x14ac:dyDescent="0.25">
      <c r="A70" s="429" t="s">
        <v>110</v>
      </c>
      <c r="B70" s="214"/>
      <c r="C70" s="58">
        <v>10000</v>
      </c>
      <c r="D70" s="666"/>
      <c r="E70" s="666"/>
      <c r="F70" s="666"/>
      <c r="G70" s="666"/>
      <c r="H70" s="666"/>
      <c r="I70" s="666"/>
      <c r="J70" s="666"/>
      <c r="K70" s="666"/>
      <c r="L70" s="151">
        <f t="shared" si="31"/>
        <v>10000</v>
      </c>
      <c r="M70" s="151">
        <f t="shared" si="22"/>
        <v>7500</v>
      </c>
      <c r="N70" s="151">
        <f t="shared" si="24"/>
        <v>833.33333333333337</v>
      </c>
      <c r="O70" s="718">
        <f t="shared" si="25"/>
        <v>8333.3333333333339</v>
      </c>
      <c r="P70" s="90"/>
      <c r="Q70" s="99"/>
      <c r="R70" s="673"/>
      <c r="S70" s="673"/>
      <c r="T70" s="673"/>
      <c r="U70" s="673"/>
      <c r="V70" s="673"/>
      <c r="W70" s="673"/>
      <c r="X70" s="673"/>
      <c r="Y70" s="99"/>
      <c r="Z70" s="99"/>
      <c r="AA70" s="99"/>
      <c r="AB70" s="673">
        <f t="shared" si="15"/>
        <v>0</v>
      </c>
      <c r="AC70" s="673">
        <f t="shared" si="16"/>
        <v>0</v>
      </c>
      <c r="AD70" s="718">
        <f t="shared" si="18"/>
        <v>0</v>
      </c>
      <c r="AE70" s="718">
        <f t="shared" si="19"/>
        <v>8333.3333333333339</v>
      </c>
      <c r="AF70" s="475">
        <f t="shared" si="20"/>
        <v>10000</v>
      </c>
    </row>
    <row r="71" spans="1:32" x14ac:dyDescent="0.25">
      <c r="A71" s="429" t="s">
        <v>390</v>
      </c>
      <c r="B71" s="214"/>
      <c r="C71" s="58">
        <v>2911</v>
      </c>
      <c r="D71" s="666"/>
      <c r="E71" s="666"/>
      <c r="F71" s="666"/>
      <c r="G71" s="666"/>
      <c r="H71" s="666"/>
      <c r="I71" s="666"/>
      <c r="J71" s="666"/>
      <c r="K71" s="666"/>
      <c r="L71" s="151">
        <f t="shared" si="31"/>
        <v>2911</v>
      </c>
      <c r="M71" s="151">
        <f t="shared" si="22"/>
        <v>2183.25</v>
      </c>
      <c r="N71" s="151">
        <f t="shared" si="24"/>
        <v>242.58333333333334</v>
      </c>
      <c r="O71" s="718">
        <f t="shared" si="25"/>
        <v>2425.8333333333335</v>
      </c>
      <c r="P71" s="90"/>
      <c r="Q71" s="99"/>
      <c r="R71" s="673"/>
      <c r="S71" s="673"/>
      <c r="T71" s="673"/>
      <c r="U71" s="673"/>
      <c r="V71" s="673"/>
      <c r="W71" s="673"/>
      <c r="X71" s="673"/>
      <c r="Y71" s="99"/>
      <c r="Z71" s="99"/>
      <c r="AA71" s="99"/>
      <c r="AB71" s="673">
        <f t="shared" si="15"/>
        <v>0</v>
      </c>
      <c r="AC71" s="673">
        <f t="shared" si="16"/>
        <v>0</v>
      </c>
      <c r="AD71" s="718">
        <f t="shared" si="18"/>
        <v>0</v>
      </c>
      <c r="AE71" s="718">
        <f t="shared" si="19"/>
        <v>2425.8333333333335</v>
      </c>
      <c r="AF71" s="475">
        <f t="shared" si="20"/>
        <v>2911</v>
      </c>
    </row>
    <row r="72" spans="1:32" x14ac:dyDescent="0.25">
      <c r="A72" s="587" t="s">
        <v>787</v>
      </c>
      <c r="B72" s="214"/>
      <c r="C72" s="58">
        <f>40000-30000</f>
        <v>10000</v>
      </c>
      <c r="D72" s="666"/>
      <c r="E72" s="666"/>
      <c r="F72" s="666"/>
      <c r="G72" s="666"/>
      <c r="H72" s="666"/>
      <c r="I72" s="666"/>
      <c r="J72" s="666"/>
      <c r="K72" s="666"/>
      <c r="L72" s="151">
        <f t="shared" si="31"/>
        <v>10000</v>
      </c>
      <c r="M72" s="151">
        <f t="shared" si="22"/>
        <v>7500</v>
      </c>
      <c r="N72" s="151">
        <f t="shared" si="24"/>
        <v>833.33333333333337</v>
      </c>
      <c r="O72" s="718">
        <f t="shared" si="25"/>
        <v>8333.3333333333339</v>
      </c>
      <c r="P72" s="90"/>
      <c r="Q72" s="99"/>
      <c r="R72" s="673"/>
      <c r="S72" s="673"/>
      <c r="T72" s="673"/>
      <c r="U72" s="673"/>
      <c r="V72" s="673"/>
      <c r="W72" s="673"/>
      <c r="X72" s="673"/>
      <c r="Y72" s="99"/>
      <c r="Z72" s="99"/>
      <c r="AA72" s="99"/>
      <c r="AB72" s="673">
        <f t="shared" si="15"/>
        <v>0</v>
      </c>
      <c r="AC72" s="673">
        <f t="shared" si="16"/>
        <v>0</v>
      </c>
      <c r="AD72" s="718">
        <f t="shared" si="18"/>
        <v>0</v>
      </c>
      <c r="AE72" s="718">
        <f t="shared" si="19"/>
        <v>8333.3333333333339</v>
      </c>
      <c r="AF72" s="475">
        <f t="shared" si="20"/>
        <v>10000</v>
      </c>
    </row>
    <row r="73" spans="1:32" x14ac:dyDescent="0.25">
      <c r="A73" s="429" t="s">
        <v>428</v>
      </c>
      <c r="B73" s="214"/>
      <c r="C73" s="58"/>
      <c r="D73" s="666"/>
      <c r="E73" s="666"/>
      <c r="F73" s="666"/>
      <c r="G73" s="666"/>
      <c r="H73" s="666"/>
      <c r="I73" s="666"/>
      <c r="J73" s="666"/>
      <c r="K73" s="666"/>
      <c r="L73" s="151">
        <f t="shared" si="31"/>
        <v>0</v>
      </c>
      <c r="M73" s="151">
        <f t="shared" si="22"/>
        <v>0</v>
      </c>
      <c r="N73" s="151">
        <f t="shared" si="24"/>
        <v>0</v>
      </c>
      <c r="O73" s="718">
        <f t="shared" si="25"/>
        <v>0</v>
      </c>
      <c r="P73" s="90"/>
      <c r="Q73" s="99"/>
      <c r="R73" s="673"/>
      <c r="S73" s="673"/>
      <c r="T73" s="673"/>
      <c r="U73" s="673"/>
      <c r="V73" s="673"/>
      <c r="W73" s="673"/>
      <c r="X73" s="673"/>
      <c r="Y73" s="99"/>
      <c r="Z73" s="99"/>
      <c r="AA73" s="99"/>
      <c r="AB73" s="673">
        <f t="shared" si="15"/>
        <v>0</v>
      </c>
      <c r="AC73" s="673">
        <f t="shared" si="16"/>
        <v>0</v>
      </c>
      <c r="AD73" s="718">
        <f t="shared" si="18"/>
        <v>0</v>
      </c>
      <c r="AE73" s="718">
        <f t="shared" si="19"/>
        <v>0</v>
      </c>
      <c r="AF73" s="475">
        <f t="shared" si="20"/>
        <v>0</v>
      </c>
    </row>
    <row r="74" spans="1:32" x14ac:dyDescent="0.25">
      <c r="A74" s="569" t="s">
        <v>788</v>
      </c>
      <c r="B74" s="214"/>
      <c r="C74" s="58"/>
      <c r="D74" s="666"/>
      <c r="E74" s="666"/>
      <c r="F74" s="666"/>
      <c r="G74" s="666"/>
      <c r="H74" s="666"/>
      <c r="I74" s="666"/>
      <c r="J74" s="666"/>
      <c r="K74" s="666"/>
      <c r="L74" s="151">
        <f t="shared" si="31"/>
        <v>0</v>
      </c>
      <c r="M74" s="151">
        <f t="shared" si="22"/>
        <v>0</v>
      </c>
      <c r="N74" s="151">
        <f t="shared" si="24"/>
        <v>0</v>
      </c>
      <c r="O74" s="718">
        <f t="shared" si="25"/>
        <v>0</v>
      </c>
      <c r="P74" s="90"/>
      <c r="Q74" s="99"/>
      <c r="R74" s="673"/>
      <c r="S74" s="673"/>
      <c r="T74" s="673"/>
      <c r="U74" s="673"/>
      <c r="V74" s="673"/>
      <c r="W74" s="673"/>
      <c r="X74" s="673"/>
      <c r="Y74" s="99"/>
      <c r="Z74" s="99"/>
      <c r="AA74" s="99"/>
      <c r="AB74" s="673">
        <f t="shared" si="15"/>
        <v>0</v>
      </c>
      <c r="AC74" s="673">
        <f t="shared" si="16"/>
        <v>0</v>
      </c>
      <c r="AD74" s="718">
        <f t="shared" si="18"/>
        <v>0</v>
      </c>
      <c r="AE74" s="718">
        <f t="shared" si="19"/>
        <v>0</v>
      </c>
      <c r="AF74" s="475">
        <f t="shared" si="20"/>
        <v>0</v>
      </c>
    </row>
    <row r="75" spans="1:32" x14ac:dyDescent="0.25">
      <c r="A75" s="588" t="s">
        <v>748</v>
      </c>
      <c r="B75" s="214"/>
      <c r="C75" s="58"/>
      <c r="D75" s="666"/>
      <c r="E75" s="666"/>
      <c r="F75" s="666"/>
      <c r="G75" s="666"/>
      <c r="H75" s="666"/>
      <c r="I75" s="666"/>
      <c r="J75" s="666"/>
      <c r="K75" s="666"/>
      <c r="L75" s="151">
        <f t="shared" si="31"/>
        <v>0</v>
      </c>
      <c r="M75" s="151">
        <f t="shared" si="22"/>
        <v>0</v>
      </c>
      <c r="N75" s="151">
        <f t="shared" si="24"/>
        <v>0</v>
      </c>
      <c r="O75" s="718">
        <f t="shared" si="25"/>
        <v>0</v>
      </c>
      <c r="P75" s="90"/>
      <c r="Q75" s="99"/>
      <c r="R75" s="673"/>
      <c r="S75" s="673"/>
      <c r="T75" s="673"/>
      <c r="U75" s="673"/>
      <c r="V75" s="673"/>
      <c r="W75" s="673"/>
      <c r="X75" s="673"/>
      <c r="Y75" s="99"/>
      <c r="Z75" s="99"/>
      <c r="AA75" s="99"/>
      <c r="AB75" s="673">
        <f t="shared" si="15"/>
        <v>0</v>
      </c>
      <c r="AC75" s="673">
        <f t="shared" si="16"/>
        <v>0</v>
      </c>
      <c r="AD75" s="718">
        <f t="shared" si="18"/>
        <v>0</v>
      </c>
      <c r="AE75" s="718">
        <f t="shared" si="19"/>
        <v>0</v>
      </c>
      <c r="AF75" s="475">
        <f t="shared" si="20"/>
        <v>0</v>
      </c>
    </row>
    <row r="76" spans="1:32" x14ac:dyDescent="0.25">
      <c r="A76" s="587" t="s">
        <v>687</v>
      </c>
      <c r="B76" s="214"/>
      <c r="C76" s="58">
        <v>5000</v>
      </c>
      <c r="D76" s="666"/>
      <c r="E76" s="666"/>
      <c r="F76" s="666"/>
      <c r="G76" s="666"/>
      <c r="H76" s="666"/>
      <c r="I76" s="666"/>
      <c r="J76" s="666"/>
      <c r="K76" s="666"/>
      <c r="L76" s="151">
        <f t="shared" si="31"/>
        <v>5000</v>
      </c>
      <c r="M76" s="151">
        <f t="shared" si="22"/>
        <v>3750</v>
      </c>
      <c r="N76" s="151">
        <f t="shared" si="24"/>
        <v>416.66666666666669</v>
      </c>
      <c r="O76" s="718">
        <f t="shared" si="25"/>
        <v>4166.666666666667</v>
      </c>
      <c r="P76" s="90"/>
      <c r="Q76" s="99"/>
      <c r="R76" s="673"/>
      <c r="S76" s="673"/>
      <c r="T76" s="673">
        <v>980</v>
      </c>
      <c r="U76" s="673">
        <v>780</v>
      </c>
      <c r="V76" s="673"/>
      <c r="W76" s="673"/>
      <c r="X76" s="673"/>
      <c r="Y76" s="99"/>
      <c r="Z76" s="99"/>
      <c r="AA76" s="99"/>
      <c r="AB76" s="673">
        <f t="shared" si="15"/>
        <v>1760</v>
      </c>
      <c r="AC76" s="673">
        <f t="shared" si="16"/>
        <v>0</v>
      </c>
      <c r="AD76" s="718">
        <f t="shared" si="18"/>
        <v>1760</v>
      </c>
      <c r="AE76" s="718">
        <f t="shared" si="19"/>
        <v>2406.666666666667</v>
      </c>
      <c r="AF76" s="475">
        <f t="shared" si="20"/>
        <v>3240</v>
      </c>
    </row>
    <row r="77" spans="1:32" x14ac:dyDescent="0.25">
      <c r="A77" s="589" t="s">
        <v>789</v>
      </c>
      <c r="B77" s="214"/>
      <c r="C77" s="58">
        <f>80000-30000</f>
        <v>50000</v>
      </c>
      <c r="D77" s="666"/>
      <c r="E77" s="666"/>
      <c r="F77" s="666"/>
      <c r="G77" s="666"/>
      <c r="H77" s="666"/>
      <c r="I77" s="666"/>
      <c r="J77" s="666"/>
      <c r="K77" s="666"/>
      <c r="L77" s="151">
        <f t="shared" si="31"/>
        <v>50000</v>
      </c>
      <c r="M77" s="151">
        <f t="shared" si="22"/>
        <v>37500</v>
      </c>
      <c r="N77" s="151">
        <f t="shared" si="24"/>
        <v>4166.666666666667</v>
      </c>
      <c r="O77" s="718">
        <f t="shared" si="25"/>
        <v>41666.666666666664</v>
      </c>
      <c r="P77" s="90"/>
      <c r="Q77" s="99"/>
      <c r="R77" s="673"/>
      <c r="S77" s="673"/>
      <c r="T77" s="673">
        <v>11800</v>
      </c>
      <c r="U77" s="673"/>
      <c r="V77" s="673"/>
      <c r="W77" s="673">
        <f>6500+2949</f>
        <v>9449</v>
      </c>
      <c r="X77" s="673">
        <v>16900</v>
      </c>
      <c r="Y77" s="99"/>
      <c r="Z77" s="99"/>
      <c r="AA77" s="99"/>
      <c r="AB77" s="673">
        <f t="shared" si="15"/>
        <v>38149</v>
      </c>
      <c r="AC77" s="673">
        <f t="shared" si="16"/>
        <v>0</v>
      </c>
      <c r="AD77" s="718">
        <f t="shared" si="18"/>
        <v>38149</v>
      </c>
      <c r="AE77" s="718">
        <f t="shared" si="19"/>
        <v>3517.6666666666642</v>
      </c>
      <c r="AF77" s="475">
        <f t="shared" si="20"/>
        <v>11851</v>
      </c>
    </row>
    <row r="78" spans="1:32" x14ac:dyDescent="0.25">
      <c r="A78" s="581" t="s">
        <v>234</v>
      </c>
      <c r="B78" s="214"/>
      <c r="C78" s="58"/>
      <c r="D78" s="666"/>
      <c r="E78" s="666"/>
      <c r="F78" s="666"/>
      <c r="G78" s="666"/>
      <c r="H78" s="666"/>
      <c r="I78" s="666"/>
      <c r="J78" s="666"/>
      <c r="K78" s="666"/>
      <c r="L78" s="151">
        <f t="shared" si="31"/>
        <v>0</v>
      </c>
      <c r="M78" s="151">
        <f t="shared" si="22"/>
        <v>0</v>
      </c>
      <c r="N78" s="151">
        <f t="shared" si="24"/>
        <v>0</v>
      </c>
      <c r="O78" s="718">
        <f t="shared" si="25"/>
        <v>0</v>
      </c>
      <c r="P78" s="90"/>
      <c r="Q78" s="99"/>
      <c r="R78" s="673"/>
      <c r="S78" s="673"/>
      <c r="T78" s="673"/>
      <c r="U78" s="673"/>
      <c r="V78" s="673"/>
      <c r="W78" s="673"/>
      <c r="X78" s="673"/>
      <c r="Y78" s="99"/>
      <c r="Z78" s="99"/>
      <c r="AA78" s="99"/>
      <c r="AB78" s="673">
        <f t="shared" si="15"/>
        <v>0</v>
      </c>
      <c r="AC78" s="673">
        <f t="shared" si="16"/>
        <v>0</v>
      </c>
      <c r="AD78" s="718">
        <f t="shared" si="18"/>
        <v>0</v>
      </c>
      <c r="AE78" s="718">
        <f t="shared" si="19"/>
        <v>0</v>
      </c>
      <c r="AF78" s="475">
        <f t="shared" si="20"/>
        <v>0</v>
      </c>
    </row>
    <row r="79" spans="1:32" x14ac:dyDescent="0.25">
      <c r="A79" s="582" t="s">
        <v>790</v>
      </c>
      <c r="B79" s="214"/>
      <c r="C79" s="58">
        <v>5000</v>
      </c>
      <c r="D79" s="666"/>
      <c r="E79" s="666"/>
      <c r="F79" s="666"/>
      <c r="G79" s="666"/>
      <c r="H79" s="666"/>
      <c r="I79" s="666"/>
      <c r="J79" s="666"/>
      <c r="K79" s="666"/>
      <c r="L79" s="151">
        <f t="shared" si="31"/>
        <v>5000</v>
      </c>
      <c r="M79" s="151">
        <f t="shared" si="22"/>
        <v>3750</v>
      </c>
      <c r="N79" s="151">
        <f t="shared" si="24"/>
        <v>416.66666666666669</v>
      </c>
      <c r="O79" s="718">
        <f t="shared" si="25"/>
        <v>4166.666666666667</v>
      </c>
      <c r="P79" s="90"/>
      <c r="Q79" s="99"/>
      <c r="R79" s="673"/>
      <c r="S79" s="673"/>
      <c r="T79" s="673"/>
      <c r="U79" s="673"/>
      <c r="V79" s="673"/>
      <c r="W79" s="673"/>
      <c r="X79" s="673"/>
      <c r="Y79" s="99"/>
      <c r="Z79" s="99"/>
      <c r="AA79" s="99"/>
      <c r="AB79" s="673">
        <f t="shared" si="15"/>
        <v>0</v>
      </c>
      <c r="AC79" s="673">
        <f t="shared" si="16"/>
        <v>0</v>
      </c>
      <c r="AD79" s="718">
        <f t="shared" si="18"/>
        <v>0</v>
      </c>
      <c r="AE79" s="718">
        <f t="shared" si="19"/>
        <v>4166.666666666667</v>
      </c>
      <c r="AF79" s="475">
        <f t="shared" si="20"/>
        <v>5000</v>
      </c>
    </row>
    <row r="80" spans="1:32" x14ac:dyDescent="0.25">
      <c r="A80" s="582" t="s">
        <v>791</v>
      </c>
      <c r="B80" s="214"/>
      <c r="C80" s="58">
        <v>5000</v>
      </c>
      <c r="D80" s="666"/>
      <c r="E80" s="666"/>
      <c r="F80" s="666"/>
      <c r="G80" s="666"/>
      <c r="H80" s="666"/>
      <c r="I80" s="666"/>
      <c r="J80" s="666"/>
      <c r="K80" s="666"/>
      <c r="L80" s="151">
        <f t="shared" si="31"/>
        <v>5000</v>
      </c>
      <c r="M80" s="151">
        <f t="shared" si="22"/>
        <v>3750</v>
      </c>
      <c r="N80" s="151">
        <f t="shared" si="24"/>
        <v>416.66666666666669</v>
      </c>
      <c r="O80" s="718">
        <f t="shared" si="25"/>
        <v>4166.666666666667</v>
      </c>
      <c r="P80" s="90"/>
      <c r="Q80" s="99"/>
      <c r="R80" s="673"/>
      <c r="S80" s="673"/>
      <c r="T80" s="673"/>
      <c r="U80" s="673"/>
      <c r="V80" s="673"/>
      <c r="W80" s="673"/>
      <c r="X80" s="673"/>
      <c r="Y80" s="99"/>
      <c r="Z80" s="99"/>
      <c r="AA80" s="99"/>
      <c r="AB80" s="673">
        <f t="shared" si="15"/>
        <v>0</v>
      </c>
      <c r="AC80" s="673">
        <f t="shared" si="16"/>
        <v>0</v>
      </c>
      <c r="AD80" s="718">
        <f t="shared" si="18"/>
        <v>0</v>
      </c>
      <c r="AE80" s="718">
        <f t="shared" si="19"/>
        <v>4166.666666666667</v>
      </c>
      <c r="AF80" s="475">
        <f t="shared" si="20"/>
        <v>5000</v>
      </c>
    </row>
    <row r="81" spans="1:32" ht="17.25" customHeight="1" x14ac:dyDescent="0.25">
      <c r="A81" s="582" t="s">
        <v>792</v>
      </c>
      <c r="B81" s="214"/>
      <c r="C81" s="58">
        <v>3000</v>
      </c>
      <c r="D81" s="666"/>
      <c r="E81" s="666"/>
      <c r="F81" s="666"/>
      <c r="G81" s="666"/>
      <c r="H81" s="666"/>
      <c r="I81" s="666"/>
      <c r="J81" s="666"/>
      <c r="K81" s="666"/>
      <c r="L81" s="151">
        <f t="shared" si="31"/>
        <v>3000</v>
      </c>
      <c r="M81" s="151">
        <f t="shared" si="22"/>
        <v>2250</v>
      </c>
      <c r="N81" s="151">
        <f t="shared" si="24"/>
        <v>250</v>
      </c>
      <c r="O81" s="718">
        <f t="shared" si="25"/>
        <v>2500</v>
      </c>
      <c r="P81" s="90"/>
      <c r="Q81" s="99"/>
      <c r="R81" s="673">
        <v>135</v>
      </c>
      <c r="S81" s="673"/>
      <c r="T81" s="673"/>
      <c r="U81" s="673"/>
      <c r="V81" s="673"/>
      <c r="W81" s="673"/>
      <c r="X81" s="673"/>
      <c r="Y81" s="99"/>
      <c r="Z81" s="99"/>
      <c r="AA81" s="99"/>
      <c r="AB81" s="673">
        <f t="shared" si="15"/>
        <v>135</v>
      </c>
      <c r="AC81" s="673">
        <f t="shared" si="16"/>
        <v>0</v>
      </c>
      <c r="AD81" s="718">
        <f t="shared" si="18"/>
        <v>135</v>
      </c>
      <c r="AE81" s="718">
        <f t="shared" si="19"/>
        <v>2365</v>
      </c>
      <c r="AF81" s="475">
        <f t="shared" si="20"/>
        <v>2865</v>
      </c>
    </row>
    <row r="82" spans="1:32" x14ac:dyDescent="0.25">
      <c r="A82" s="581" t="s">
        <v>144</v>
      </c>
      <c r="B82" s="214"/>
      <c r="C82" s="58"/>
      <c r="D82" s="666"/>
      <c r="E82" s="666"/>
      <c r="F82" s="666"/>
      <c r="G82" s="666"/>
      <c r="H82" s="666"/>
      <c r="I82" s="666"/>
      <c r="J82" s="666"/>
      <c r="K82" s="666"/>
      <c r="L82" s="151">
        <f t="shared" si="31"/>
        <v>0</v>
      </c>
      <c r="M82" s="151">
        <f t="shared" si="22"/>
        <v>0</v>
      </c>
      <c r="N82" s="151">
        <f t="shared" si="24"/>
        <v>0</v>
      </c>
      <c r="O82" s="718">
        <f t="shared" si="25"/>
        <v>0</v>
      </c>
      <c r="P82" s="90"/>
      <c r="Q82" s="99"/>
      <c r="R82" s="673"/>
      <c r="S82" s="673"/>
      <c r="T82" s="673"/>
      <c r="U82" s="673"/>
      <c r="V82" s="673"/>
      <c r="W82" s="673"/>
      <c r="X82" s="673"/>
      <c r="Y82" s="99"/>
      <c r="Z82" s="99"/>
      <c r="AA82" s="99"/>
      <c r="AB82" s="673">
        <f t="shared" si="15"/>
        <v>0</v>
      </c>
      <c r="AC82" s="673">
        <f t="shared" si="16"/>
        <v>0</v>
      </c>
      <c r="AD82" s="718">
        <f t="shared" si="18"/>
        <v>0</v>
      </c>
      <c r="AE82" s="718">
        <f t="shared" si="19"/>
        <v>0</v>
      </c>
      <c r="AF82" s="475">
        <f t="shared" si="20"/>
        <v>0</v>
      </c>
    </row>
    <row r="83" spans="1:32" x14ac:dyDescent="0.25">
      <c r="A83" s="582" t="s">
        <v>793</v>
      </c>
      <c r="B83" s="214"/>
      <c r="C83" s="58">
        <f>20000-8000</f>
        <v>12000</v>
      </c>
      <c r="D83" s="666"/>
      <c r="E83" s="666"/>
      <c r="F83" s="666"/>
      <c r="G83" s="666"/>
      <c r="H83" s="666"/>
      <c r="I83" s="666"/>
      <c r="J83" s="666"/>
      <c r="K83" s="666"/>
      <c r="L83" s="151">
        <f t="shared" si="31"/>
        <v>12000</v>
      </c>
      <c r="M83" s="151">
        <f t="shared" si="22"/>
        <v>9000</v>
      </c>
      <c r="N83" s="151">
        <f t="shared" si="24"/>
        <v>1000</v>
      </c>
      <c r="O83" s="718">
        <f t="shared" si="25"/>
        <v>10000</v>
      </c>
      <c r="P83" s="90"/>
      <c r="Q83" s="99">
        <v>1517.82</v>
      </c>
      <c r="R83" s="673"/>
      <c r="S83" s="673">
        <v>500.76</v>
      </c>
      <c r="T83" s="673"/>
      <c r="U83" s="673"/>
      <c r="V83" s="673">
        <v>5088.68</v>
      </c>
      <c r="W83" s="673">
        <v>3589.06</v>
      </c>
      <c r="X83" s="673"/>
      <c r="Y83" s="99"/>
      <c r="Z83" s="99"/>
      <c r="AA83" s="99"/>
      <c r="AB83" s="673">
        <f t="shared" si="15"/>
        <v>10696.32</v>
      </c>
      <c r="AC83" s="673">
        <f t="shared" si="16"/>
        <v>0</v>
      </c>
      <c r="AD83" s="718">
        <f t="shared" si="18"/>
        <v>10696.32</v>
      </c>
      <c r="AE83" s="718">
        <f t="shared" si="19"/>
        <v>-696.31999999999971</v>
      </c>
      <c r="AF83" s="475">
        <f t="shared" si="20"/>
        <v>1303.6800000000003</v>
      </c>
    </row>
    <row r="84" spans="1:32" x14ac:dyDescent="0.25">
      <c r="A84" s="581" t="s">
        <v>253</v>
      </c>
      <c r="B84" s="214"/>
      <c r="C84" s="58"/>
      <c r="D84" s="666"/>
      <c r="E84" s="666"/>
      <c r="F84" s="666"/>
      <c r="G84" s="666"/>
      <c r="H84" s="666"/>
      <c r="I84" s="666"/>
      <c r="J84" s="666"/>
      <c r="K84" s="666"/>
      <c r="L84" s="151">
        <f t="shared" si="31"/>
        <v>0</v>
      </c>
      <c r="M84" s="151">
        <f t="shared" si="22"/>
        <v>0</v>
      </c>
      <c r="N84" s="151">
        <f t="shared" si="24"/>
        <v>0</v>
      </c>
      <c r="O84" s="718">
        <f t="shared" si="25"/>
        <v>0</v>
      </c>
      <c r="P84" s="90"/>
      <c r="Q84" s="99"/>
      <c r="R84" s="673"/>
      <c r="S84" s="673"/>
      <c r="T84" s="673"/>
      <c r="U84" s="673"/>
      <c r="V84" s="673"/>
      <c r="W84" s="673"/>
      <c r="X84" s="673"/>
      <c r="Y84" s="99"/>
      <c r="Z84" s="99"/>
      <c r="AA84" s="99"/>
      <c r="AB84" s="673">
        <f t="shared" si="15"/>
        <v>0</v>
      </c>
      <c r="AC84" s="673">
        <f t="shared" si="16"/>
        <v>0</v>
      </c>
      <c r="AD84" s="718">
        <f t="shared" si="18"/>
        <v>0</v>
      </c>
      <c r="AE84" s="718">
        <f t="shared" si="19"/>
        <v>0</v>
      </c>
      <c r="AF84" s="475">
        <f t="shared" si="20"/>
        <v>0</v>
      </c>
    </row>
    <row r="85" spans="1:32" x14ac:dyDescent="0.25">
      <c r="A85" s="429" t="s">
        <v>794</v>
      </c>
      <c r="B85" s="214"/>
      <c r="C85" s="58">
        <f>18000-8000</f>
        <v>10000</v>
      </c>
      <c r="D85" s="666"/>
      <c r="E85" s="666"/>
      <c r="F85" s="666"/>
      <c r="G85" s="666"/>
      <c r="H85" s="666"/>
      <c r="I85" s="666"/>
      <c r="J85" s="666"/>
      <c r="K85" s="666"/>
      <c r="L85" s="151">
        <f t="shared" si="31"/>
        <v>10000</v>
      </c>
      <c r="M85" s="151">
        <f t="shared" si="22"/>
        <v>7500</v>
      </c>
      <c r="N85" s="151">
        <f t="shared" si="24"/>
        <v>833.33333333333337</v>
      </c>
      <c r="O85" s="718">
        <f t="shared" si="25"/>
        <v>8333.3333333333339</v>
      </c>
      <c r="P85" s="90"/>
      <c r="Q85" s="99">
        <f>2100+900</f>
        <v>3000</v>
      </c>
      <c r="R85" s="673">
        <v>2400</v>
      </c>
      <c r="S85" s="673"/>
      <c r="T85" s="673">
        <f>455+2000</f>
        <v>2455</v>
      </c>
      <c r="U85" s="673"/>
      <c r="V85" s="673"/>
      <c r="W85" s="673">
        <v>1750</v>
      </c>
      <c r="X85" s="673"/>
      <c r="Y85" s="99"/>
      <c r="Z85" s="99"/>
      <c r="AA85" s="99"/>
      <c r="AB85" s="673">
        <f t="shared" si="15"/>
        <v>9605</v>
      </c>
      <c r="AC85" s="673">
        <f t="shared" si="16"/>
        <v>0</v>
      </c>
      <c r="AD85" s="718">
        <f t="shared" si="18"/>
        <v>9605</v>
      </c>
      <c r="AE85" s="718">
        <f t="shared" si="19"/>
        <v>-1271.6666666666661</v>
      </c>
      <c r="AF85" s="475">
        <f t="shared" si="20"/>
        <v>395</v>
      </c>
    </row>
    <row r="86" spans="1:32" x14ac:dyDescent="0.25">
      <c r="A86" s="429" t="s">
        <v>795</v>
      </c>
      <c r="B86" s="214"/>
      <c r="C86" s="58">
        <v>6000</v>
      </c>
      <c r="D86" s="666"/>
      <c r="E86" s="666"/>
      <c r="F86" s="666"/>
      <c r="G86" s="666"/>
      <c r="H86" s="666"/>
      <c r="I86" s="666"/>
      <c r="J86" s="666"/>
      <c r="K86" s="666"/>
      <c r="L86" s="151">
        <f t="shared" si="31"/>
        <v>6000</v>
      </c>
      <c r="M86" s="151">
        <f t="shared" si="22"/>
        <v>4500</v>
      </c>
      <c r="N86" s="151">
        <f t="shared" si="24"/>
        <v>500</v>
      </c>
      <c r="O86" s="718">
        <f t="shared" si="25"/>
        <v>5000</v>
      </c>
      <c r="P86" s="90"/>
      <c r="Q86" s="99"/>
      <c r="R86" s="673">
        <v>4220</v>
      </c>
      <c r="S86" s="673"/>
      <c r="T86" s="673"/>
      <c r="U86" s="673"/>
      <c r="V86" s="673"/>
      <c r="W86" s="673"/>
      <c r="X86" s="673"/>
      <c r="Y86" s="99"/>
      <c r="Z86" s="99"/>
      <c r="AA86" s="99"/>
      <c r="AB86" s="673">
        <f t="shared" si="15"/>
        <v>4220</v>
      </c>
      <c r="AC86" s="673">
        <f t="shared" si="16"/>
        <v>0</v>
      </c>
      <c r="AD86" s="718">
        <f t="shared" si="18"/>
        <v>4220</v>
      </c>
      <c r="AE86" s="718">
        <f t="shared" si="19"/>
        <v>780</v>
      </c>
      <c r="AF86" s="475">
        <f t="shared" si="20"/>
        <v>1780</v>
      </c>
    </row>
    <row r="87" spans="1:32" x14ac:dyDescent="0.25">
      <c r="A87" s="213" t="s">
        <v>1293</v>
      </c>
      <c r="B87" s="214"/>
      <c r="C87" s="151"/>
      <c r="D87" s="151"/>
      <c r="E87" s="151"/>
      <c r="F87" s="151"/>
      <c r="G87" s="151"/>
      <c r="H87" s="151"/>
      <c r="I87" s="151"/>
      <c r="J87" s="151"/>
      <c r="K87" s="151">
        <v>30000</v>
      </c>
      <c r="L87" s="151">
        <f t="shared" si="31"/>
        <v>30000</v>
      </c>
      <c r="M87" s="151">
        <f t="shared" si="22"/>
        <v>22500</v>
      </c>
      <c r="N87" s="151">
        <f t="shared" si="24"/>
        <v>2500</v>
      </c>
      <c r="O87" s="718">
        <f t="shared" si="25"/>
        <v>25000</v>
      </c>
      <c r="P87" s="90"/>
      <c r="Q87" s="99"/>
      <c r="R87" s="673"/>
      <c r="S87" s="673"/>
      <c r="T87" s="673"/>
      <c r="U87" s="673"/>
      <c r="V87" s="673">
        <v>6300</v>
      </c>
      <c r="W87" s="673"/>
      <c r="X87" s="673">
        <v>22500</v>
      </c>
      <c r="Y87" s="99"/>
      <c r="Z87" s="99"/>
      <c r="AA87" s="99"/>
      <c r="AB87" s="673">
        <f t="shared" si="15"/>
        <v>28800</v>
      </c>
      <c r="AC87" s="673">
        <f t="shared" si="16"/>
        <v>0</v>
      </c>
      <c r="AD87" s="718">
        <f t="shared" si="18"/>
        <v>28800</v>
      </c>
      <c r="AE87" s="718">
        <f t="shared" si="19"/>
        <v>-3800</v>
      </c>
      <c r="AF87" s="475">
        <f t="shared" si="20"/>
        <v>1200</v>
      </c>
    </row>
    <row r="88" spans="1:32" x14ac:dyDescent="0.25">
      <c r="A88" s="218" t="s">
        <v>108</v>
      </c>
      <c r="B88" s="578"/>
      <c r="C88" s="578">
        <f>SUM(C35:C87)</f>
        <v>3389911</v>
      </c>
      <c r="D88" s="578">
        <f>SUM(D35:D87)</f>
        <v>0</v>
      </c>
      <c r="E88" s="578">
        <f>SUM(E35:E87)</f>
        <v>0</v>
      </c>
      <c r="F88" s="578">
        <f>SUM(F35:F87)</f>
        <v>200000</v>
      </c>
      <c r="G88" s="578">
        <f t="shared" ref="G88:J88" si="32">SUM(G35:G87)</f>
        <v>233380</v>
      </c>
      <c r="H88" s="578">
        <f t="shared" si="32"/>
        <v>5060</v>
      </c>
      <c r="I88" s="578">
        <f t="shared" si="32"/>
        <v>0</v>
      </c>
      <c r="J88" s="578">
        <f t="shared" si="32"/>
        <v>27000</v>
      </c>
      <c r="K88" s="578">
        <f t="shared" ref="K88:AF88" si="33">SUM(K35:K87)</f>
        <v>240000</v>
      </c>
      <c r="L88" s="578">
        <f t="shared" si="33"/>
        <v>4095351</v>
      </c>
      <c r="M88" s="578">
        <f t="shared" si="33"/>
        <v>3071513.25</v>
      </c>
      <c r="N88" s="578">
        <f t="shared" si="33"/>
        <v>341279.25</v>
      </c>
      <c r="O88" s="578">
        <f t="shared" si="33"/>
        <v>3412792.5</v>
      </c>
      <c r="P88" s="578">
        <f t="shared" si="33"/>
        <v>86038.349999999991</v>
      </c>
      <c r="Q88" s="578">
        <f t="shared" si="33"/>
        <v>161318.85999999999</v>
      </c>
      <c r="R88" s="578">
        <f t="shared" si="33"/>
        <v>289739.52000000002</v>
      </c>
      <c r="S88" s="578">
        <f t="shared" si="33"/>
        <v>430712.91000000003</v>
      </c>
      <c r="T88" s="578">
        <f t="shared" si="33"/>
        <v>285291.45999999996</v>
      </c>
      <c r="U88" s="579">
        <f t="shared" si="33"/>
        <v>176390.73</v>
      </c>
      <c r="V88" s="579">
        <f t="shared" si="33"/>
        <v>330786.23</v>
      </c>
      <c r="W88" s="579">
        <f t="shared" si="33"/>
        <v>260983.5</v>
      </c>
      <c r="X88" s="579">
        <f t="shared" si="33"/>
        <v>260583.5</v>
      </c>
      <c r="Y88" s="578">
        <f t="shared" si="33"/>
        <v>212957</v>
      </c>
      <c r="Z88" s="578">
        <f t="shared" si="33"/>
        <v>0</v>
      </c>
      <c r="AA88" s="578">
        <f t="shared" si="33"/>
        <v>0</v>
      </c>
      <c r="AB88" s="578">
        <f t="shared" si="33"/>
        <v>2281845.0599999996</v>
      </c>
      <c r="AC88" s="578">
        <f t="shared" si="33"/>
        <v>212957</v>
      </c>
      <c r="AD88" s="578">
        <f t="shared" si="33"/>
        <v>2494802.06</v>
      </c>
      <c r="AE88" s="578">
        <f t="shared" si="33"/>
        <v>917990.44000000006</v>
      </c>
      <c r="AF88" s="578">
        <f t="shared" si="33"/>
        <v>1600548.9400000002</v>
      </c>
    </row>
    <row r="89" spans="1:32" x14ac:dyDescent="0.25">
      <c r="A89" s="211" t="s">
        <v>230</v>
      </c>
      <c r="B89" s="215"/>
      <c r="C89" s="590"/>
      <c r="D89" s="590"/>
      <c r="E89" s="590"/>
      <c r="F89" s="590"/>
      <c r="G89" s="590"/>
      <c r="H89" s="590"/>
      <c r="I89" s="590"/>
      <c r="J89" s="590"/>
      <c r="K89" s="590"/>
      <c r="L89" s="590"/>
      <c r="M89" s="590"/>
      <c r="N89" s="590"/>
      <c r="O89" s="43"/>
      <c r="P89" s="90"/>
      <c r="Q89" s="99"/>
      <c r="R89" s="673"/>
      <c r="S89" s="673"/>
      <c r="T89" s="673"/>
      <c r="U89" s="673"/>
      <c r="V89" s="673"/>
      <c r="W89" s="673"/>
      <c r="X89" s="673"/>
      <c r="Y89" s="99"/>
      <c r="Z89" s="99"/>
      <c r="AA89" s="99"/>
      <c r="AB89" s="90"/>
      <c r="AC89" s="99"/>
      <c r="AD89" s="99"/>
      <c r="AE89" s="99"/>
      <c r="AF89" s="99"/>
    </row>
    <row r="90" spans="1:32" x14ac:dyDescent="0.25">
      <c r="A90" s="211" t="s">
        <v>319</v>
      </c>
      <c r="B90" s="215"/>
      <c r="C90" s="590"/>
      <c r="D90" s="590"/>
      <c r="E90" s="590"/>
      <c r="F90" s="590"/>
      <c r="G90" s="590"/>
      <c r="H90" s="590"/>
      <c r="I90" s="590"/>
      <c r="J90" s="590"/>
      <c r="K90" s="590"/>
      <c r="L90" s="590"/>
      <c r="M90" s="590"/>
      <c r="N90" s="590"/>
      <c r="O90" s="43"/>
      <c r="P90" s="90"/>
      <c r="Q90" s="99"/>
      <c r="R90" s="673"/>
      <c r="S90" s="673"/>
      <c r="T90" s="673"/>
      <c r="U90" s="673"/>
      <c r="V90" s="673"/>
      <c r="W90" s="673"/>
      <c r="X90" s="673"/>
      <c r="Y90" s="99"/>
      <c r="Z90" s="99"/>
      <c r="AA90" s="99"/>
      <c r="AB90" s="673">
        <f t="shared" ref="AB90:AB97" si="34">P90+Q90+R90+S90+T90+U90+V90+W90+X90</f>
        <v>0</v>
      </c>
      <c r="AC90" s="673">
        <f t="shared" ref="AC90:AC97" si="35">Y90</f>
        <v>0</v>
      </c>
      <c r="AD90" s="99"/>
      <c r="AE90" s="99"/>
      <c r="AF90" s="99"/>
    </row>
    <row r="91" spans="1:32" x14ac:dyDescent="0.25">
      <c r="A91" s="1130" t="s">
        <v>281</v>
      </c>
      <c r="B91" s="591" t="s">
        <v>280</v>
      </c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43"/>
      <c r="P91" s="90"/>
      <c r="Q91" s="99"/>
      <c r="R91" s="673"/>
      <c r="S91" s="673"/>
      <c r="T91" s="673"/>
      <c r="U91" s="673"/>
      <c r="V91" s="673"/>
      <c r="W91" s="673"/>
      <c r="X91" s="673"/>
      <c r="Y91" s="99"/>
      <c r="Z91" s="99"/>
      <c r="AA91" s="99"/>
      <c r="AB91" s="673">
        <f t="shared" si="34"/>
        <v>0</v>
      </c>
      <c r="AC91" s="673">
        <f t="shared" si="35"/>
        <v>0</v>
      </c>
      <c r="AD91" s="99"/>
      <c r="AE91" s="99"/>
      <c r="AF91" s="99"/>
    </row>
    <row r="92" spans="1:32" x14ac:dyDescent="0.25">
      <c r="A92" s="1131" t="s">
        <v>796</v>
      </c>
      <c r="B92" s="591"/>
      <c r="C92" s="151">
        <v>50000</v>
      </c>
      <c r="D92" s="151"/>
      <c r="E92" s="151"/>
      <c r="F92" s="151"/>
      <c r="G92" s="151"/>
      <c r="H92" s="151"/>
      <c r="I92" s="151"/>
      <c r="J92" s="151"/>
      <c r="K92" s="151"/>
      <c r="L92" s="151">
        <f t="shared" ref="L92:L97" si="36">SUM(C92:K92)</f>
        <v>50000</v>
      </c>
      <c r="M92" s="215">
        <f t="shared" ref="M92:M97" si="37">L92</f>
        <v>50000</v>
      </c>
      <c r="N92" s="151">
        <f>L92</f>
        <v>50000</v>
      </c>
      <c r="O92" s="43">
        <f>L92</f>
        <v>50000</v>
      </c>
      <c r="P92" s="90"/>
      <c r="Q92" s="99"/>
      <c r="R92" s="673"/>
      <c r="S92" s="673"/>
      <c r="T92" s="673"/>
      <c r="U92" s="673"/>
      <c r="V92" s="673"/>
      <c r="W92" s="673">
        <f>13200+36635</f>
        <v>49835</v>
      </c>
      <c r="X92" s="673"/>
      <c r="Y92" s="99"/>
      <c r="Z92" s="99"/>
      <c r="AA92" s="99"/>
      <c r="AB92" s="673">
        <f t="shared" si="34"/>
        <v>49835</v>
      </c>
      <c r="AC92" s="673">
        <f t="shared" si="35"/>
        <v>0</v>
      </c>
      <c r="AD92" s="718">
        <f t="shared" ref="AD92:AD97" si="38">AB92+AC92</f>
        <v>49835</v>
      </c>
      <c r="AE92" s="718">
        <f t="shared" ref="AE92:AE97" si="39">O92-AD92</f>
        <v>165</v>
      </c>
      <c r="AF92" s="475">
        <f t="shared" ref="AF92:AF97" si="40">L92-AD92</f>
        <v>165</v>
      </c>
    </row>
    <row r="93" spans="1:32" x14ac:dyDescent="0.25">
      <c r="A93" s="1132" t="s">
        <v>110</v>
      </c>
      <c r="B93" s="599" t="s">
        <v>111</v>
      </c>
      <c r="C93" s="151"/>
      <c r="D93" s="151"/>
      <c r="E93" s="151"/>
      <c r="F93" s="151"/>
      <c r="G93" s="151"/>
      <c r="H93" s="151"/>
      <c r="I93" s="151"/>
      <c r="J93" s="151"/>
      <c r="K93" s="151"/>
      <c r="L93" s="151">
        <f t="shared" si="36"/>
        <v>0</v>
      </c>
      <c r="M93" s="215">
        <f t="shared" si="37"/>
        <v>0</v>
      </c>
      <c r="N93" s="151">
        <f t="shared" ref="N93:N95" si="41">L93</f>
        <v>0</v>
      </c>
      <c r="O93" s="718">
        <f t="shared" ref="O93:O95" si="42">L93</f>
        <v>0</v>
      </c>
      <c r="P93" s="90"/>
      <c r="Q93" s="99"/>
      <c r="R93" s="673"/>
      <c r="S93" s="673"/>
      <c r="T93" s="673"/>
      <c r="U93" s="673"/>
      <c r="V93" s="673"/>
      <c r="W93" s="673"/>
      <c r="X93" s="673"/>
      <c r="Y93" s="99"/>
      <c r="Z93" s="99"/>
      <c r="AA93" s="99"/>
      <c r="AB93" s="673">
        <f t="shared" si="34"/>
        <v>0</v>
      </c>
      <c r="AC93" s="673">
        <f t="shared" si="35"/>
        <v>0</v>
      </c>
      <c r="AD93" s="718">
        <f t="shared" si="38"/>
        <v>0</v>
      </c>
      <c r="AE93" s="718">
        <f t="shared" si="39"/>
        <v>0</v>
      </c>
      <c r="AF93" s="475">
        <f t="shared" si="40"/>
        <v>0</v>
      </c>
    </row>
    <row r="94" spans="1:32" x14ac:dyDescent="0.25">
      <c r="A94" s="1133" t="s">
        <v>797</v>
      </c>
      <c r="B94" s="599"/>
      <c r="C94" s="151">
        <v>50000</v>
      </c>
      <c r="D94" s="151"/>
      <c r="E94" s="151"/>
      <c r="F94" s="151"/>
      <c r="G94" s="151"/>
      <c r="H94" s="151"/>
      <c r="I94" s="151"/>
      <c r="J94" s="151"/>
      <c r="K94" s="151"/>
      <c r="L94" s="151">
        <f t="shared" si="36"/>
        <v>50000</v>
      </c>
      <c r="M94" s="215">
        <f t="shared" si="37"/>
        <v>50000</v>
      </c>
      <c r="N94" s="151">
        <f t="shared" si="41"/>
        <v>50000</v>
      </c>
      <c r="O94" s="718">
        <f t="shared" si="42"/>
        <v>50000</v>
      </c>
      <c r="P94" s="90"/>
      <c r="Q94" s="99"/>
      <c r="R94" s="673"/>
      <c r="S94" s="673"/>
      <c r="T94" s="673"/>
      <c r="U94" s="673"/>
      <c r="V94" s="673"/>
      <c r="W94" s="673"/>
      <c r="X94" s="673"/>
      <c r="Y94" s="99"/>
      <c r="Z94" s="99"/>
      <c r="AA94" s="99"/>
      <c r="AB94" s="673">
        <f t="shared" si="34"/>
        <v>0</v>
      </c>
      <c r="AC94" s="673">
        <f t="shared" si="35"/>
        <v>0</v>
      </c>
      <c r="AD94" s="718">
        <f t="shared" si="38"/>
        <v>0</v>
      </c>
      <c r="AE94" s="718">
        <f t="shared" si="39"/>
        <v>50000</v>
      </c>
      <c r="AF94" s="475">
        <f t="shared" si="40"/>
        <v>50000</v>
      </c>
    </row>
    <row r="95" spans="1:32" x14ac:dyDescent="0.25">
      <c r="A95" s="920" t="s">
        <v>1294</v>
      </c>
      <c r="B95" s="591"/>
      <c r="C95" s="151"/>
      <c r="D95" s="151"/>
      <c r="E95" s="151"/>
      <c r="F95" s="151"/>
      <c r="G95" s="151"/>
      <c r="H95" s="151"/>
      <c r="I95" s="151"/>
      <c r="J95" s="151"/>
      <c r="K95" s="151">
        <v>70000</v>
      </c>
      <c r="L95" s="151">
        <f t="shared" si="36"/>
        <v>70000</v>
      </c>
      <c r="M95" s="215">
        <f t="shared" si="37"/>
        <v>70000</v>
      </c>
      <c r="N95" s="151">
        <f t="shared" si="41"/>
        <v>70000</v>
      </c>
      <c r="O95" s="718">
        <f t="shared" si="42"/>
        <v>70000</v>
      </c>
      <c r="P95" s="90"/>
      <c r="Q95" s="99"/>
      <c r="R95" s="673"/>
      <c r="S95" s="673"/>
      <c r="T95" s="673"/>
      <c r="U95" s="673"/>
      <c r="V95" s="673"/>
      <c r="W95" s="673"/>
      <c r="X95" s="673"/>
      <c r="Y95" s="99"/>
      <c r="Z95" s="99"/>
      <c r="AA95" s="99"/>
      <c r="AB95" s="673">
        <f t="shared" si="34"/>
        <v>0</v>
      </c>
      <c r="AC95" s="673">
        <f t="shared" si="35"/>
        <v>0</v>
      </c>
      <c r="AD95" s="718">
        <f t="shared" si="38"/>
        <v>0</v>
      </c>
      <c r="AE95" s="718">
        <f t="shared" si="39"/>
        <v>70000</v>
      </c>
      <c r="AF95" s="475">
        <f t="shared" si="40"/>
        <v>70000</v>
      </c>
    </row>
    <row r="96" spans="1:32" x14ac:dyDescent="0.25">
      <c r="A96" s="920" t="s">
        <v>1295</v>
      </c>
      <c r="B96" s="591"/>
      <c r="C96" s="151"/>
      <c r="D96" s="151">
        <v>200000</v>
      </c>
      <c r="E96" s="151"/>
      <c r="F96" s="151"/>
      <c r="G96" s="151"/>
      <c r="H96" s="151"/>
      <c r="I96" s="151"/>
      <c r="J96" s="151"/>
      <c r="K96" s="151">
        <v>120000</v>
      </c>
      <c r="L96" s="151">
        <f t="shared" si="36"/>
        <v>320000</v>
      </c>
      <c r="M96" s="215">
        <f t="shared" si="37"/>
        <v>320000</v>
      </c>
      <c r="N96" s="151">
        <f t="shared" ref="N96:N97" si="43">L96</f>
        <v>320000</v>
      </c>
      <c r="O96" s="718">
        <f t="shared" ref="O96:O97" si="44">L96</f>
        <v>320000</v>
      </c>
      <c r="P96" s="673"/>
      <c r="Q96" s="929"/>
      <c r="R96" s="673"/>
      <c r="S96" s="673"/>
      <c r="T96" s="673"/>
      <c r="U96" s="673"/>
      <c r="V96" s="673"/>
      <c r="W96" s="673"/>
      <c r="X96" s="673"/>
      <c r="Y96" s="929"/>
      <c r="Z96" s="929"/>
      <c r="AA96" s="929"/>
      <c r="AB96" s="673">
        <f t="shared" si="34"/>
        <v>0</v>
      </c>
      <c r="AC96" s="673">
        <f t="shared" si="35"/>
        <v>0</v>
      </c>
      <c r="AD96" s="718">
        <f t="shared" si="38"/>
        <v>0</v>
      </c>
      <c r="AE96" s="718">
        <f t="shared" si="39"/>
        <v>320000</v>
      </c>
      <c r="AF96" s="475">
        <f t="shared" si="40"/>
        <v>320000</v>
      </c>
    </row>
    <row r="97" spans="1:32" x14ac:dyDescent="0.25">
      <c r="A97" s="940"/>
      <c r="B97" s="591"/>
      <c r="C97" s="151"/>
      <c r="D97" s="151"/>
      <c r="E97" s="151"/>
      <c r="F97" s="151"/>
      <c r="G97" s="151"/>
      <c r="H97" s="151"/>
      <c r="I97" s="151"/>
      <c r="J97" s="151"/>
      <c r="K97" s="151"/>
      <c r="L97" s="151">
        <f t="shared" si="36"/>
        <v>0</v>
      </c>
      <c r="M97" s="215">
        <f t="shared" si="37"/>
        <v>0</v>
      </c>
      <c r="N97" s="151">
        <f t="shared" si="43"/>
        <v>0</v>
      </c>
      <c r="O97" s="718">
        <f t="shared" si="44"/>
        <v>0</v>
      </c>
      <c r="P97" s="673"/>
      <c r="Q97" s="929"/>
      <c r="R97" s="673"/>
      <c r="S97" s="673"/>
      <c r="T97" s="673"/>
      <c r="U97" s="673"/>
      <c r="V97" s="673"/>
      <c r="W97" s="673"/>
      <c r="X97" s="673"/>
      <c r="Y97" s="929"/>
      <c r="Z97" s="929"/>
      <c r="AA97" s="929"/>
      <c r="AB97" s="673">
        <f t="shared" si="34"/>
        <v>0</v>
      </c>
      <c r="AC97" s="673">
        <f t="shared" si="35"/>
        <v>0</v>
      </c>
      <c r="AD97" s="718">
        <f t="shared" si="38"/>
        <v>0</v>
      </c>
      <c r="AE97" s="718">
        <f t="shared" si="39"/>
        <v>0</v>
      </c>
      <c r="AF97" s="475">
        <f t="shared" si="40"/>
        <v>0</v>
      </c>
    </row>
    <row r="98" spans="1:32" x14ac:dyDescent="0.25">
      <c r="A98" s="218" t="s">
        <v>328</v>
      </c>
      <c r="B98" s="578"/>
      <c r="C98" s="578">
        <f>SUM(C89:C97)</f>
        <v>100000</v>
      </c>
      <c r="D98" s="578">
        <f>SUM(D89:D97)</f>
        <v>200000</v>
      </c>
      <c r="E98" s="578">
        <f>SUM(E89:E97)</f>
        <v>0</v>
      </c>
      <c r="F98" s="578">
        <f>SUM(F89:F97)</f>
        <v>0</v>
      </c>
      <c r="G98" s="578">
        <f t="shared" ref="G98:J98" si="45">SUM(G89:G97)</f>
        <v>0</v>
      </c>
      <c r="H98" s="578">
        <f t="shared" si="45"/>
        <v>0</v>
      </c>
      <c r="I98" s="578">
        <f t="shared" si="45"/>
        <v>0</v>
      </c>
      <c r="J98" s="578">
        <f t="shared" si="45"/>
        <v>0</v>
      </c>
      <c r="K98" s="578">
        <f t="shared" ref="K98:AF98" si="46">SUM(K89:K97)</f>
        <v>190000</v>
      </c>
      <c r="L98" s="578">
        <f t="shared" si="46"/>
        <v>490000</v>
      </c>
      <c r="M98" s="578">
        <f t="shared" si="46"/>
        <v>490000</v>
      </c>
      <c r="N98" s="578">
        <f t="shared" si="46"/>
        <v>490000</v>
      </c>
      <c r="O98" s="578">
        <f t="shared" si="46"/>
        <v>490000</v>
      </c>
      <c r="P98" s="578">
        <f t="shared" si="46"/>
        <v>0</v>
      </c>
      <c r="Q98" s="578">
        <f t="shared" si="46"/>
        <v>0</v>
      </c>
      <c r="R98" s="578">
        <f t="shared" si="46"/>
        <v>0</v>
      </c>
      <c r="S98" s="578">
        <f t="shared" si="46"/>
        <v>0</v>
      </c>
      <c r="T98" s="578">
        <f t="shared" si="46"/>
        <v>0</v>
      </c>
      <c r="U98" s="579">
        <f t="shared" si="46"/>
        <v>0</v>
      </c>
      <c r="V98" s="579">
        <f t="shared" si="46"/>
        <v>0</v>
      </c>
      <c r="W98" s="579">
        <f t="shared" si="46"/>
        <v>49835</v>
      </c>
      <c r="X98" s="579">
        <f t="shared" si="46"/>
        <v>0</v>
      </c>
      <c r="Y98" s="578">
        <f t="shared" si="46"/>
        <v>0</v>
      </c>
      <c r="Z98" s="578">
        <f t="shared" si="46"/>
        <v>0</v>
      </c>
      <c r="AA98" s="578">
        <f t="shared" si="46"/>
        <v>0</v>
      </c>
      <c r="AB98" s="578">
        <f t="shared" si="46"/>
        <v>49835</v>
      </c>
      <c r="AC98" s="578">
        <f t="shared" si="46"/>
        <v>0</v>
      </c>
      <c r="AD98" s="578">
        <f t="shared" si="46"/>
        <v>49835</v>
      </c>
      <c r="AE98" s="578">
        <f t="shared" si="46"/>
        <v>440165</v>
      </c>
      <c r="AF98" s="578">
        <f t="shared" si="46"/>
        <v>440165</v>
      </c>
    </row>
    <row r="99" spans="1:32" x14ac:dyDescent="0.25">
      <c r="A99" s="472" t="s">
        <v>320</v>
      </c>
      <c r="B99" s="219"/>
      <c r="C99" s="578"/>
      <c r="D99" s="578"/>
      <c r="E99" s="578"/>
      <c r="F99" s="578"/>
      <c r="G99" s="578"/>
      <c r="H99" s="578"/>
      <c r="I99" s="578"/>
      <c r="J99" s="578"/>
      <c r="K99" s="578"/>
      <c r="L99" s="578"/>
      <c r="M99" s="578"/>
      <c r="N99" s="578"/>
      <c r="O99" s="578"/>
      <c r="P99" s="579"/>
      <c r="Q99" s="578"/>
      <c r="R99" s="579"/>
      <c r="S99" s="579"/>
      <c r="T99" s="579"/>
      <c r="U99" s="579"/>
      <c r="V99" s="579"/>
      <c r="W99" s="579"/>
      <c r="X99" s="579"/>
      <c r="Y99" s="578"/>
      <c r="Z99" s="578"/>
      <c r="AA99" s="578"/>
      <c r="AB99" s="673">
        <f t="shared" ref="AB99:AB104" si="47">P99+Q99+R99+S99+T99+U99+V99+W99+X99</f>
        <v>0</v>
      </c>
      <c r="AC99" s="673">
        <f t="shared" ref="AC99:AC104" si="48">Y99</f>
        <v>0</v>
      </c>
      <c r="AD99" s="215"/>
      <c r="AE99" s="578"/>
      <c r="AF99" s="99"/>
    </row>
    <row r="100" spans="1:32" x14ac:dyDescent="0.25">
      <c r="A100" s="935" t="s">
        <v>1211</v>
      </c>
      <c r="B100" s="530"/>
      <c r="C100" s="215">
        <v>40750</v>
      </c>
      <c r="D100" s="215"/>
      <c r="E100" s="215"/>
      <c r="F100" s="215"/>
      <c r="G100" s="215"/>
      <c r="H100" s="215"/>
      <c r="I100" s="215">
        <f>-40750</f>
        <v>-40750</v>
      </c>
      <c r="J100" s="215"/>
      <c r="K100" s="215"/>
      <c r="L100" s="151">
        <f>SUM(C100:K100)</f>
        <v>0</v>
      </c>
      <c r="M100" s="215">
        <f>L100</f>
        <v>0</v>
      </c>
      <c r="N100" s="151">
        <f>L100</f>
        <v>0</v>
      </c>
      <c r="O100" s="718">
        <f>L100</f>
        <v>0</v>
      </c>
      <c r="P100" s="579"/>
      <c r="Q100" s="578"/>
      <c r="R100" s="579"/>
      <c r="S100" s="579"/>
      <c r="T100" s="579"/>
      <c r="U100" s="579"/>
      <c r="V100" s="579"/>
      <c r="W100" s="579"/>
      <c r="X100" s="579"/>
      <c r="Y100" s="578"/>
      <c r="Z100" s="578"/>
      <c r="AA100" s="578"/>
      <c r="AB100" s="673">
        <f t="shared" si="47"/>
        <v>0</v>
      </c>
      <c r="AC100" s="673">
        <f t="shared" si="48"/>
        <v>0</v>
      </c>
      <c r="AD100" s="718">
        <f t="shared" ref="AD100:AD104" si="49">AB100+AC100</f>
        <v>0</v>
      </c>
      <c r="AE100" s="718">
        <f t="shared" ref="AE100:AE104" si="50">O100-AD100</f>
        <v>0</v>
      </c>
      <c r="AF100" s="475">
        <f t="shared" ref="AF100:AF104" si="51">L100-AD100</f>
        <v>0</v>
      </c>
    </row>
    <row r="101" spans="1:32" x14ac:dyDescent="0.25">
      <c r="A101" s="940" t="s">
        <v>1210</v>
      </c>
      <c r="B101" s="530"/>
      <c r="C101" s="215"/>
      <c r="D101" s="215"/>
      <c r="E101" s="215"/>
      <c r="F101" s="215"/>
      <c r="G101" s="215"/>
      <c r="H101" s="215"/>
      <c r="I101" s="215">
        <f>40750</f>
        <v>40750</v>
      </c>
      <c r="J101" s="215"/>
      <c r="K101" s="215"/>
      <c r="L101" s="151">
        <f>SUM(C101:K101)</f>
        <v>40750</v>
      </c>
      <c r="M101" s="215">
        <f>L101</f>
        <v>40750</v>
      </c>
      <c r="N101" s="151">
        <f>L101</f>
        <v>40750</v>
      </c>
      <c r="O101" s="718">
        <f>L101</f>
        <v>40750</v>
      </c>
      <c r="P101" s="579"/>
      <c r="Q101" s="578"/>
      <c r="R101" s="579"/>
      <c r="S101" s="579">
        <v>37500</v>
      </c>
      <c r="T101" s="579"/>
      <c r="U101" s="579"/>
      <c r="V101" s="579"/>
      <c r="W101" s="579"/>
      <c r="X101" s="579"/>
      <c r="Y101" s="578"/>
      <c r="Z101" s="578"/>
      <c r="AA101" s="578"/>
      <c r="AB101" s="673">
        <f t="shared" si="47"/>
        <v>37500</v>
      </c>
      <c r="AC101" s="673">
        <f t="shared" si="48"/>
        <v>0</v>
      </c>
      <c r="AD101" s="718">
        <f t="shared" si="49"/>
        <v>37500</v>
      </c>
      <c r="AE101" s="718">
        <f t="shared" si="50"/>
        <v>3250</v>
      </c>
      <c r="AF101" s="475">
        <f t="shared" si="51"/>
        <v>3250</v>
      </c>
    </row>
    <row r="102" spans="1:32" x14ac:dyDescent="0.25">
      <c r="A102" s="833" t="s">
        <v>300</v>
      </c>
      <c r="B102" s="530"/>
      <c r="C102" s="215"/>
      <c r="D102" s="215"/>
      <c r="E102" s="215">
        <f>45000</f>
        <v>45000</v>
      </c>
      <c r="F102" s="215"/>
      <c r="G102" s="215"/>
      <c r="H102" s="215"/>
      <c r="I102" s="215"/>
      <c r="J102" s="215"/>
      <c r="K102" s="215"/>
      <c r="L102" s="151">
        <f t="shared" ref="L102:L103" si="52">SUM(C102:K102)</f>
        <v>45000</v>
      </c>
      <c r="M102" s="215">
        <f>L102</f>
        <v>45000</v>
      </c>
      <c r="N102" s="151">
        <f>L102</f>
        <v>45000</v>
      </c>
      <c r="O102" s="718">
        <f>L102</f>
        <v>45000</v>
      </c>
      <c r="P102" s="579"/>
      <c r="Q102" s="578"/>
      <c r="R102" s="579"/>
      <c r="S102" s="579"/>
      <c r="T102" s="579"/>
      <c r="U102" s="579"/>
      <c r="V102" s="579"/>
      <c r="W102" s="579"/>
      <c r="X102" s="579"/>
      <c r="Y102" s="578"/>
      <c r="Z102" s="578"/>
      <c r="AA102" s="578"/>
      <c r="AB102" s="673">
        <f t="shared" ref="AB102" si="53">P102+Q102+R102+S102+T102+U102+V102+W102+X102</f>
        <v>0</v>
      </c>
      <c r="AC102" s="673">
        <f t="shared" ref="AC102" si="54">Y102</f>
        <v>0</v>
      </c>
      <c r="AD102" s="718">
        <f t="shared" ref="AD102" si="55">AB102+AC102</f>
        <v>0</v>
      </c>
      <c r="AE102" s="718">
        <f t="shared" ref="AE102" si="56">O102-AD102</f>
        <v>45000</v>
      </c>
      <c r="AF102" s="475">
        <f t="shared" ref="AF102" si="57">L102-AD102</f>
        <v>45000</v>
      </c>
    </row>
    <row r="103" spans="1:32" x14ac:dyDescent="0.25">
      <c r="A103" s="935" t="s">
        <v>1135</v>
      </c>
      <c r="B103" s="219"/>
      <c r="C103" s="215">
        <v>45000</v>
      </c>
      <c r="D103" s="215"/>
      <c r="E103" s="215">
        <f>-45000</f>
        <v>-45000</v>
      </c>
      <c r="F103" s="215"/>
      <c r="G103" s="215"/>
      <c r="H103" s="215"/>
      <c r="I103" s="215"/>
      <c r="J103" s="215"/>
      <c r="K103" s="215"/>
      <c r="L103" s="151">
        <f t="shared" si="52"/>
        <v>0</v>
      </c>
      <c r="M103" s="215">
        <f>L103</f>
        <v>0</v>
      </c>
      <c r="N103" s="151">
        <f>L103</f>
        <v>0</v>
      </c>
      <c r="O103" s="43">
        <f>L103</f>
        <v>0</v>
      </c>
      <c r="P103" s="579"/>
      <c r="Q103" s="578"/>
      <c r="R103" s="579"/>
      <c r="S103" s="579"/>
      <c r="T103" s="579"/>
      <c r="U103" s="579"/>
      <c r="V103" s="579"/>
      <c r="W103" s="579"/>
      <c r="X103" s="579"/>
      <c r="Y103" s="578"/>
      <c r="Z103" s="578"/>
      <c r="AA103" s="578"/>
      <c r="AB103" s="673">
        <f t="shared" si="47"/>
        <v>0</v>
      </c>
      <c r="AC103" s="673">
        <f t="shared" si="48"/>
        <v>0</v>
      </c>
      <c r="AD103" s="718">
        <f t="shared" si="49"/>
        <v>0</v>
      </c>
      <c r="AE103" s="718">
        <f t="shared" si="50"/>
        <v>0</v>
      </c>
      <c r="AF103" s="475">
        <f t="shared" si="51"/>
        <v>0</v>
      </c>
    </row>
    <row r="104" spans="1:32" x14ac:dyDescent="0.25">
      <c r="A104" s="935" t="s">
        <v>1136</v>
      </c>
      <c r="B104" s="219"/>
      <c r="C104" s="215">
        <v>200</v>
      </c>
      <c r="D104" s="215"/>
      <c r="E104" s="215"/>
      <c r="F104" s="215"/>
      <c r="G104" s="215"/>
      <c r="H104" s="215"/>
      <c r="I104" s="215"/>
      <c r="J104" s="215"/>
      <c r="K104" s="215"/>
      <c r="L104" s="151">
        <f>SUM(C104:K104)</f>
        <v>200</v>
      </c>
      <c r="M104" s="215">
        <f t="shared" ref="M104" si="58">L104</f>
        <v>200</v>
      </c>
      <c r="N104" s="151">
        <f t="shared" ref="N104" si="59">L104</f>
        <v>200</v>
      </c>
      <c r="O104" s="43">
        <f>L104</f>
        <v>200</v>
      </c>
      <c r="P104" s="579"/>
      <c r="Q104" s="578"/>
      <c r="R104" s="579"/>
      <c r="S104" s="579"/>
      <c r="T104" s="579"/>
      <c r="U104" s="579"/>
      <c r="V104" s="579"/>
      <c r="W104" s="579"/>
      <c r="X104" s="579"/>
      <c r="Y104" s="578"/>
      <c r="Z104" s="578"/>
      <c r="AA104" s="578"/>
      <c r="AB104" s="673">
        <f t="shared" si="47"/>
        <v>0</v>
      </c>
      <c r="AC104" s="673">
        <f t="shared" si="48"/>
        <v>0</v>
      </c>
      <c r="AD104" s="718">
        <f t="shared" si="49"/>
        <v>0</v>
      </c>
      <c r="AE104" s="718">
        <f t="shared" si="50"/>
        <v>200</v>
      </c>
      <c r="AF104" s="475">
        <f t="shared" si="51"/>
        <v>200</v>
      </c>
    </row>
    <row r="105" spans="1:32" x14ac:dyDescent="0.25">
      <c r="A105" s="472" t="s">
        <v>322</v>
      </c>
      <c r="B105" s="219"/>
      <c r="C105" s="578">
        <f>SUM(C100:C104)</f>
        <v>85950</v>
      </c>
      <c r="D105" s="578">
        <f>SUM(D100:D104)</f>
        <v>0</v>
      </c>
      <c r="E105" s="578">
        <f>SUM(E100:E104)</f>
        <v>0</v>
      </c>
      <c r="F105" s="578">
        <f>SUM(F100:F104)</f>
        <v>0</v>
      </c>
      <c r="G105" s="578">
        <f t="shared" ref="G105:I105" si="60">SUM(G100:G104)</f>
        <v>0</v>
      </c>
      <c r="H105" s="578">
        <f t="shared" ref="H105" si="61">SUM(H100:H104)</f>
        <v>0</v>
      </c>
      <c r="I105" s="578">
        <f t="shared" si="60"/>
        <v>0</v>
      </c>
      <c r="J105" s="578">
        <f t="shared" ref="J105" si="62">SUM(J100:J104)</f>
        <v>0</v>
      </c>
      <c r="K105" s="578">
        <f t="shared" ref="K105:AF105" si="63">SUM(K100:K104)</f>
        <v>0</v>
      </c>
      <c r="L105" s="578">
        <f t="shared" si="63"/>
        <v>85950</v>
      </c>
      <c r="M105" s="578">
        <f t="shared" si="63"/>
        <v>85950</v>
      </c>
      <c r="N105" s="578">
        <f t="shared" si="63"/>
        <v>85950</v>
      </c>
      <c r="O105" s="578">
        <f t="shared" si="63"/>
        <v>85950</v>
      </c>
      <c r="P105" s="578">
        <f t="shared" si="63"/>
        <v>0</v>
      </c>
      <c r="Q105" s="578">
        <f t="shared" si="63"/>
        <v>0</v>
      </c>
      <c r="R105" s="578">
        <f t="shared" si="63"/>
        <v>0</v>
      </c>
      <c r="S105" s="578">
        <f t="shared" si="63"/>
        <v>37500</v>
      </c>
      <c r="T105" s="578">
        <f t="shared" si="63"/>
        <v>0</v>
      </c>
      <c r="U105" s="578">
        <f t="shared" si="63"/>
        <v>0</v>
      </c>
      <c r="V105" s="579">
        <f t="shared" si="63"/>
        <v>0</v>
      </c>
      <c r="W105" s="579">
        <f t="shared" si="63"/>
        <v>0</v>
      </c>
      <c r="X105" s="579">
        <f t="shared" si="63"/>
        <v>0</v>
      </c>
      <c r="Y105" s="578">
        <f t="shared" si="63"/>
        <v>0</v>
      </c>
      <c r="Z105" s="578">
        <f t="shared" si="63"/>
        <v>0</v>
      </c>
      <c r="AA105" s="578">
        <f t="shared" si="63"/>
        <v>0</v>
      </c>
      <c r="AB105" s="578">
        <f t="shared" si="63"/>
        <v>37500</v>
      </c>
      <c r="AC105" s="578">
        <f t="shared" si="63"/>
        <v>0</v>
      </c>
      <c r="AD105" s="578">
        <f t="shared" si="63"/>
        <v>37500</v>
      </c>
      <c r="AE105" s="578">
        <f t="shared" si="63"/>
        <v>48450</v>
      </c>
      <c r="AF105" s="578">
        <f t="shared" si="63"/>
        <v>48450</v>
      </c>
    </row>
    <row r="106" spans="1:32" x14ac:dyDescent="0.25">
      <c r="A106" s="218" t="s">
        <v>330</v>
      </c>
      <c r="B106" s="592"/>
      <c r="C106" s="592">
        <f>C98+C105</f>
        <v>185950</v>
      </c>
      <c r="D106" s="592">
        <f>D98+D105</f>
        <v>200000</v>
      </c>
      <c r="E106" s="592">
        <f>E98+E105</f>
        <v>0</v>
      </c>
      <c r="F106" s="592">
        <f>F98+F105</f>
        <v>0</v>
      </c>
      <c r="G106" s="592">
        <f t="shared" ref="G106:I106" si="64">G98+G105</f>
        <v>0</v>
      </c>
      <c r="H106" s="592">
        <f t="shared" ref="H106" si="65">H98+H105</f>
        <v>0</v>
      </c>
      <c r="I106" s="592">
        <f t="shared" si="64"/>
        <v>0</v>
      </c>
      <c r="J106" s="592">
        <f t="shared" ref="J106" si="66">J98+J105</f>
        <v>0</v>
      </c>
      <c r="K106" s="592">
        <f t="shared" ref="K106:AF106" si="67">K98+K105</f>
        <v>190000</v>
      </c>
      <c r="L106" s="592">
        <f t="shared" si="67"/>
        <v>575950</v>
      </c>
      <c r="M106" s="592">
        <f t="shared" si="67"/>
        <v>575950</v>
      </c>
      <c r="N106" s="592">
        <f t="shared" si="67"/>
        <v>575950</v>
      </c>
      <c r="O106" s="592">
        <f t="shared" si="67"/>
        <v>575950</v>
      </c>
      <c r="P106" s="592">
        <f t="shared" si="67"/>
        <v>0</v>
      </c>
      <c r="Q106" s="592">
        <f t="shared" si="67"/>
        <v>0</v>
      </c>
      <c r="R106" s="592">
        <f t="shared" si="67"/>
        <v>0</v>
      </c>
      <c r="S106" s="592">
        <f t="shared" si="67"/>
        <v>37500</v>
      </c>
      <c r="T106" s="592">
        <f t="shared" si="67"/>
        <v>0</v>
      </c>
      <c r="U106" s="592">
        <f t="shared" si="67"/>
        <v>0</v>
      </c>
      <c r="V106" s="1205">
        <f t="shared" si="67"/>
        <v>0</v>
      </c>
      <c r="W106" s="1205">
        <f t="shared" si="67"/>
        <v>49835</v>
      </c>
      <c r="X106" s="1205">
        <f t="shared" si="67"/>
        <v>0</v>
      </c>
      <c r="Y106" s="592">
        <f t="shared" si="67"/>
        <v>0</v>
      </c>
      <c r="Z106" s="592">
        <f t="shared" si="67"/>
        <v>0</v>
      </c>
      <c r="AA106" s="592">
        <f t="shared" si="67"/>
        <v>0</v>
      </c>
      <c r="AB106" s="592">
        <f t="shared" si="67"/>
        <v>87335</v>
      </c>
      <c r="AC106" s="592">
        <f t="shared" si="67"/>
        <v>0</v>
      </c>
      <c r="AD106" s="592">
        <f t="shared" si="67"/>
        <v>87335</v>
      </c>
      <c r="AE106" s="592">
        <f t="shared" si="67"/>
        <v>488615</v>
      </c>
      <c r="AF106" s="592">
        <f t="shared" si="67"/>
        <v>488615</v>
      </c>
    </row>
    <row r="107" spans="1:32" ht="15.75" thickBot="1" x14ac:dyDescent="0.3">
      <c r="A107" s="220" t="s">
        <v>160</v>
      </c>
      <c r="B107" s="221"/>
      <c r="C107" s="221">
        <f>+C106+C88+C33</f>
        <v>9899716.6899999995</v>
      </c>
      <c r="D107" s="221">
        <f>+D106+D88+D33</f>
        <v>200000</v>
      </c>
      <c r="E107" s="221">
        <f>+E106+E88+E33</f>
        <v>0</v>
      </c>
      <c r="F107" s="221">
        <f>+F106+F88+F33</f>
        <v>233545.08000000002</v>
      </c>
      <c r="G107" s="221">
        <f t="shared" ref="G107:I107" si="68">+G106+G88+G33</f>
        <v>233380</v>
      </c>
      <c r="H107" s="221">
        <f t="shared" ref="H107" si="69">+H106+H88+H33</f>
        <v>5060</v>
      </c>
      <c r="I107" s="221">
        <f t="shared" si="68"/>
        <v>0</v>
      </c>
      <c r="J107" s="221">
        <f t="shared" ref="J107" si="70">+J106+J88+J33</f>
        <v>27000</v>
      </c>
      <c r="K107" s="221">
        <f t="shared" ref="K107:AF107" si="71">+K106+K88+K33</f>
        <v>430000</v>
      </c>
      <c r="L107" s="221">
        <f t="shared" si="71"/>
        <v>11028701.77</v>
      </c>
      <c r="M107" s="221">
        <f t="shared" si="71"/>
        <v>8425513.8275000006</v>
      </c>
      <c r="N107" s="221">
        <f t="shared" si="71"/>
        <v>1447012.6475</v>
      </c>
      <c r="O107" s="221">
        <f t="shared" si="71"/>
        <v>9296576.4750000015</v>
      </c>
      <c r="P107" s="221">
        <f t="shared" si="71"/>
        <v>567826.32000000007</v>
      </c>
      <c r="Q107" s="221">
        <f t="shared" si="71"/>
        <v>603106.83000000007</v>
      </c>
      <c r="R107" s="221">
        <f t="shared" si="71"/>
        <v>731611.79</v>
      </c>
      <c r="S107" s="221">
        <f t="shared" si="71"/>
        <v>976955.67999999993</v>
      </c>
      <c r="T107" s="221">
        <f t="shared" si="71"/>
        <v>1052072.1800000002</v>
      </c>
      <c r="U107" s="221">
        <f t="shared" si="71"/>
        <v>637900.44999999995</v>
      </c>
      <c r="V107" s="1191">
        <f t="shared" si="71"/>
        <v>792295.95</v>
      </c>
      <c r="W107" s="1191">
        <f t="shared" si="71"/>
        <v>767042.09999999986</v>
      </c>
      <c r="X107" s="1191">
        <f t="shared" si="71"/>
        <v>722876.31</v>
      </c>
      <c r="Y107" s="221">
        <f t="shared" si="71"/>
        <v>683526</v>
      </c>
      <c r="Z107" s="221">
        <f t="shared" si="71"/>
        <v>0</v>
      </c>
      <c r="AA107" s="221">
        <f t="shared" si="71"/>
        <v>0</v>
      </c>
      <c r="AB107" s="221">
        <f t="shared" si="71"/>
        <v>6851687.6099999985</v>
      </c>
      <c r="AC107" s="221">
        <f t="shared" si="71"/>
        <v>683526</v>
      </c>
      <c r="AD107" s="221">
        <f t="shared" si="71"/>
        <v>7535213.6100000013</v>
      </c>
      <c r="AE107" s="221">
        <f t="shared" si="71"/>
        <v>1761362.865</v>
      </c>
      <c r="AF107" s="221">
        <f t="shared" si="71"/>
        <v>3493488.16</v>
      </c>
    </row>
    <row r="108" spans="1:32" ht="15.75" thickTop="1" x14ac:dyDescent="0.25">
      <c r="A108" s="593"/>
      <c r="B108" s="594"/>
      <c r="C108" s="594"/>
      <c r="D108" s="594"/>
      <c r="E108" s="594"/>
      <c r="F108" s="594"/>
      <c r="G108" s="594"/>
      <c r="H108" s="594"/>
      <c r="I108" s="594"/>
      <c r="J108" s="594"/>
      <c r="K108" s="594"/>
      <c r="L108" s="594"/>
      <c r="M108" s="594"/>
      <c r="N108" s="594"/>
      <c r="O108" s="594"/>
      <c r="P108" s="595"/>
      <c r="Q108" s="594"/>
      <c r="R108" s="595"/>
      <c r="S108" s="595"/>
      <c r="T108" s="595"/>
      <c r="U108" s="595"/>
      <c r="V108" s="595"/>
      <c r="W108" s="595"/>
      <c r="X108" s="595"/>
      <c r="Y108" s="594"/>
      <c r="Z108" s="594"/>
      <c r="AA108" s="594"/>
      <c r="AB108" s="595"/>
      <c r="AC108" s="594"/>
      <c r="AD108" s="596"/>
      <c r="AE108" s="594"/>
      <c r="AF108" s="594"/>
    </row>
    <row r="109" spans="1:32" x14ac:dyDescent="0.25">
      <c r="A109" s="29" t="s">
        <v>354</v>
      </c>
      <c r="B109" s="488"/>
      <c r="C109" s="489"/>
      <c r="D109" s="489"/>
      <c r="E109" s="489"/>
      <c r="F109" s="489"/>
      <c r="G109" s="489"/>
      <c r="H109" s="489"/>
      <c r="I109" s="489"/>
      <c r="J109" s="489"/>
      <c r="K109" s="489"/>
      <c r="L109" s="489"/>
      <c r="M109" s="489"/>
      <c r="N109" s="489"/>
      <c r="P109" s="708"/>
      <c r="AB109" s="708"/>
      <c r="AE109" s="490" t="s">
        <v>357</v>
      </c>
    </row>
    <row r="110" spans="1:32" x14ac:dyDescent="0.25">
      <c r="B110" s="488"/>
      <c r="C110" s="489"/>
      <c r="D110" s="489"/>
      <c r="E110" s="489"/>
      <c r="F110" s="489"/>
      <c r="G110" s="489"/>
      <c r="H110" s="489"/>
      <c r="I110" s="489"/>
      <c r="J110" s="489"/>
      <c r="K110" s="489"/>
      <c r="L110" s="489"/>
      <c r="M110" s="489"/>
      <c r="N110" s="489"/>
      <c r="AE110" s="490"/>
    </row>
    <row r="111" spans="1:32" x14ac:dyDescent="0.25">
      <c r="B111" s="491"/>
      <c r="C111" s="492"/>
      <c r="D111" s="492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</row>
    <row r="112" spans="1:32" x14ac:dyDescent="0.25">
      <c r="A112" s="493" t="s">
        <v>355</v>
      </c>
      <c r="B112" s="494"/>
      <c r="C112" s="495"/>
      <c r="D112" s="495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AE112" s="496" t="s">
        <v>358</v>
      </c>
    </row>
    <row r="113" spans="1:32" x14ac:dyDescent="0.25">
      <c r="A113" s="490" t="s">
        <v>356</v>
      </c>
      <c r="AE113" s="490" t="s">
        <v>359</v>
      </c>
    </row>
    <row r="114" spans="1:32" x14ac:dyDescent="0.25">
      <c r="A114" s="490"/>
      <c r="P114" s="708"/>
      <c r="AB114" s="708"/>
      <c r="AE114" s="490"/>
    </row>
    <row r="115" spans="1:32" x14ac:dyDescent="0.25">
      <c r="A115" s="490"/>
      <c r="P115" s="708"/>
      <c r="AB115" s="708"/>
      <c r="AE115" s="490"/>
    </row>
    <row r="116" spans="1:32" x14ac:dyDescent="0.25">
      <c r="A116" s="490"/>
      <c r="P116" s="708"/>
      <c r="AB116" s="708"/>
      <c r="AE116" s="490"/>
    </row>
    <row r="117" spans="1:32" x14ac:dyDescent="0.25">
      <c r="A117" s="490"/>
      <c r="P117" s="708"/>
      <c r="AB117" s="708"/>
      <c r="AE117" s="490"/>
    </row>
    <row r="118" spans="1:32" x14ac:dyDescent="0.25">
      <c r="A118" s="490"/>
      <c r="P118" s="708"/>
      <c r="AB118" s="708"/>
      <c r="AE118" s="490"/>
    </row>
    <row r="119" spans="1:32" x14ac:dyDescent="0.25">
      <c r="A119" s="490"/>
      <c r="P119" s="708"/>
      <c r="AB119" s="708"/>
      <c r="AE119" s="490"/>
    </row>
    <row r="120" spans="1:32" x14ac:dyDescent="0.25">
      <c r="A120" s="1439" t="s">
        <v>352</v>
      </c>
      <c r="B120" s="1439"/>
      <c r="C120" s="1439"/>
      <c r="D120" s="1439"/>
      <c r="E120" s="1439"/>
      <c r="F120" s="1439"/>
      <c r="G120" s="1439"/>
      <c r="H120" s="1439"/>
      <c r="I120" s="1439"/>
      <c r="J120" s="1439"/>
      <c r="K120" s="1439"/>
      <c r="L120" s="1439"/>
      <c r="M120" s="1439"/>
      <c r="N120" s="1439"/>
      <c r="O120" s="1439"/>
      <c r="P120" s="1439"/>
      <c r="Q120" s="1439"/>
      <c r="R120" s="1439"/>
      <c r="S120" s="1439"/>
      <c r="T120" s="1439"/>
      <c r="U120" s="1439"/>
      <c r="V120" s="1439"/>
      <c r="W120" s="1439"/>
      <c r="X120" s="1439"/>
      <c r="Y120" s="1439"/>
      <c r="Z120" s="1439"/>
      <c r="AA120" s="1439"/>
      <c r="AB120" s="1439"/>
      <c r="AC120" s="1439"/>
      <c r="AD120" s="1439"/>
      <c r="AE120" s="1439"/>
      <c r="AF120" s="1439"/>
    </row>
    <row r="121" spans="1:32" x14ac:dyDescent="0.25">
      <c r="A121" s="1439" t="s">
        <v>353</v>
      </c>
      <c r="B121" s="1439"/>
      <c r="C121" s="1439"/>
      <c r="D121" s="1439"/>
      <c r="E121" s="1439"/>
      <c r="F121" s="1439"/>
      <c r="G121" s="1439"/>
      <c r="H121" s="1439"/>
      <c r="I121" s="1439"/>
      <c r="J121" s="1439"/>
      <c r="K121" s="1439"/>
      <c r="L121" s="1439"/>
      <c r="M121" s="1439"/>
      <c r="N121" s="1439"/>
      <c r="O121" s="1439"/>
      <c r="P121" s="1439"/>
      <c r="Q121" s="1439"/>
      <c r="R121" s="1439"/>
      <c r="S121" s="1439"/>
      <c r="T121" s="1439"/>
      <c r="U121" s="1439"/>
      <c r="V121" s="1439"/>
      <c r="W121" s="1439"/>
      <c r="X121" s="1439"/>
      <c r="Y121" s="1439"/>
      <c r="Z121" s="1439"/>
      <c r="AA121" s="1439"/>
      <c r="AB121" s="1439"/>
      <c r="AC121" s="1439"/>
      <c r="AD121" s="1439"/>
      <c r="AE121" s="1439"/>
      <c r="AF121" s="1439"/>
    </row>
    <row r="122" spans="1:32" x14ac:dyDescent="0.25">
      <c r="A122" s="1441" t="str">
        <f>A3</f>
        <v>For the Period October 1-31, 2021</v>
      </c>
      <c r="B122" s="1441"/>
      <c r="C122" s="1441"/>
      <c r="D122" s="1441"/>
      <c r="E122" s="1441"/>
      <c r="F122" s="1441"/>
      <c r="G122" s="1441"/>
      <c r="H122" s="1441"/>
      <c r="I122" s="1441"/>
      <c r="J122" s="1441"/>
      <c r="K122" s="1441"/>
      <c r="L122" s="1441"/>
      <c r="M122" s="1441"/>
      <c r="N122" s="1441"/>
      <c r="O122" s="1441"/>
      <c r="P122" s="1441"/>
      <c r="Q122" s="1441"/>
      <c r="R122" s="1441"/>
      <c r="S122" s="1441"/>
      <c r="T122" s="1441"/>
      <c r="U122" s="1441"/>
      <c r="V122" s="1441"/>
      <c r="W122" s="1441"/>
      <c r="X122" s="1441"/>
      <c r="Y122" s="1441"/>
      <c r="Z122" s="1441"/>
      <c r="AA122" s="1441"/>
      <c r="AB122" s="1441"/>
      <c r="AC122" s="1441"/>
      <c r="AD122" s="1441"/>
      <c r="AE122" s="1441"/>
      <c r="AF122" s="1441"/>
    </row>
    <row r="123" spans="1:32" ht="26.25" x14ac:dyDescent="0.25">
      <c r="A123" s="463" t="s">
        <v>347</v>
      </c>
      <c r="B123" s="463" t="s">
        <v>2</v>
      </c>
      <c r="C123" s="463" t="s">
        <v>133</v>
      </c>
      <c r="D123" s="463"/>
      <c r="E123" s="1073" t="s">
        <v>1204</v>
      </c>
      <c r="F123" s="463" t="s">
        <v>1374</v>
      </c>
      <c r="G123" s="1259" t="str">
        <f>G4</f>
        <v>Augmentation of fund</v>
      </c>
      <c r="H123" s="1073" t="s">
        <v>1204</v>
      </c>
      <c r="I123" s="1073" t="s">
        <v>1204</v>
      </c>
      <c r="J123" s="1073" t="s">
        <v>1204</v>
      </c>
      <c r="K123" s="1073" t="s">
        <v>1227</v>
      </c>
      <c r="L123" s="463" t="s">
        <v>1</v>
      </c>
      <c r="M123" s="463" t="s">
        <v>316</v>
      </c>
      <c r="N123" s="463" t="s">
        <v>314</v>
      </c>
      <c r="O123" s="465" t="s">
        <v>346</v>
      </c>
      <c r="P123" s="519"/>
      <c r="Q123" s="519"/>
      <c r="R123" s="519"/>
      <c r="S123" s="519"/>
      <c r="T123" s="230"/>
      <c r="U123" s="230"/>
      <c r="V123" s="230"/>
      <c r="W123" s="230"/>
      <c r="X123" s="230"/>
      <c r="Y123" s="230"/>
      <c r="Z123" s="230"/>
      <c r="AA123" s="230"/>
      <c r="AB123" s="465" t="s">
        <v>316</v>
      </c>
      <c r="AC123" s="465" t="s">
        <v>348</v>
      </c>
      <c r="AD123" s="465" t="s">
        <v>1</v>
      </c>
      <c r="AE123" s="465" t="s">
        <v>131</v>
      </c>
      <c r="AF123" s="465" t="s">
        <v>131</v>
      </c>
    </row>
    <row r="124" spans="1:32" ht="15.75" thickBot="1" x14ac:dyDescent="0.3">
      <c r="A124" s="600"/>
      <c r="B124" s="469" t="s">
        <v>3</v>
      </c>
      <c r="C124" s="469" t="s">
        <v>134</v>
      </c>
      <c r="D124" s="600"/>
      <c r="E124" s="1009" t="s">
        <v>1352</v>
      </c>
      <c r="F124" s="1272">
        <v>44459</v>
      </c>
      <c r="G124" s="1260" t="str">
        <f>G5</f>
        <v>AO#22(8/16/21)</v>
      </c>
      <c r="H124" s="1009" t="s">
        <v>1354</v>
      </c>
      <c r="I124" s="1009" t="s">
        <v>1209</v>
      </c>
      <c r="J124" s="1009" t="s">
        <v>1345</v>
      </c>
      <c r="K124" s="1101">
        <v>44305</v>
      </c>
      <c r="L124" s="469" t="s">
        <v>314</v>
      </c>
      <c r="M124" s="469" t="s">
        <v>314</v>
      </c>
      <c r="N124" s="469" t="s">
        <v>315</v>
      </c>
      <c r="O124" s="470" t="s">
        <v>315</v>
      </c>
      <c r="P124" s="470" t="s">
        <v>0</v>
      </c>
      <c r="Q124" s="470" t="s">
        <v>120</v>
      </c>
      <c r="R124" s="470" t="s">
        <v>121</v>
      </c>
      <c r="S124" s="470" t="s">
        <v>122</v>
      </c>
      <c r="T124" s="470" t="s">
        <v>123</v>
      </c>
      <c r="U124" s="470" t="s">
        <v>124</v>
      </c>
      <c r="V124" s="470" t="s">
        <v>125</v>
      </c>
      <c r="W124" s="470" t="s">
        <v>126</v>
      </c>
      <c r="X124" s="470" t="s">
        <v>127</v>
      </c>
      <c r="Y124" s="470" t="s">
        <v>128</v>
      </c>
      <c r="Z124" s="470" t="s">
        <v>129</v>
      </c>
      <c r="AA124" s="470" t="s">
        <v>130</v>
      </c>
      <c r="AB124" s="470" t="s">
        <v>317</v>
      </c>
      <c r="AC124" s="470" t="s">
        <v>315</v>
      </c>
      <c r="AD124" s="470" t="s">
        <v>317</v>
      </c>
      <c r="AE124" s="470" t="s">
        <v>314</v>
      </c>
      <c r="AF124" s="470" t="s">
        <v>132</v>
      </c>
    </row>
    <row r="125" spans="1:32" ht="15.75" thickTop="1" x14ac:dyDescent="0.25">
      <c r="A125" s="211" t="s">
        <v>798</v>
      </c>
      <c r="B125" s="210"/>
      <c r="C125" s="268"/>
      <c r="D125" s="268"/>
      <c r="E125" s="268"/>
      <c r="F125" s="268"/>
      <c r="G125" s="268"/>
      <c r="H125" s="268"/>
      <c r="I125" s="268"/>
      <c r="J125" s="268"/>
      <c r="K125" s="268"/>
      <c r="L125" s="268"/>
      <c r="M125" s="268"/>
      <c r="N125" s="268"/>
      <c r="O125" s="268"/>
      <c r="P125" s="267"/>
      <c r="Q125" s="268"/>
      <c r="R125" s="267"/>
      <c r="S125" s="267"/>
      <c r="T125" s="267"/>
      <c r="U125" s="267"/>
      <c r="V125" s="267"/>
      <c r="W125" s="267"/>
      <c r="X125" s="267"/>
      <c r="Y125" s="268"/>
      <c r="Z125" s="268"/>
      <c r="AA125" s="268"/>
      <c r="AB125" s="267"/>
      <c r="AC125" s="268"/>
      <c r="AD125" s="268"/>
      <c r="AE125" s="268"/>
      <c r="AF125" s="268"/>
    </row>
    <row r="126" spans="1:32" x14ac:dyDescent="0.25">
      <c r="A126" s="601" t="s">
        <v>799</v>
      </c>
      <c r="B126" s="212"/>
      <c r="C126" s="99"/>
      <c r="D126" s="929"/>
      <c r="E126" s="929"/>
      <c r="F126" s="929"/>
      <c r="G126" s="929"/>
      <c r="H126" s="929"/>
      <c r="I126" s="929"/>
      <c r="J126" s="929"/>
      <c r="K126" s="929"/>
      <c r="L126" s="99"/>
      <c r="M126" s="99"/>
      <c r="N126" s="99"/>
      <c r="O126" s="99"/>
      <c r="P126" s="90"/>
      <c r="Q126" s="99"/>
      <c r="R126" s="673"/>
      <c r="S126" s="673"/>
      <c r="T126" s="673"/>
      <c r="U126" s="673"/>
      <c r="V126" s="673"/>
      <c r="W126" s="673"/>
      <c r="X126" s="673"/>
      <c r="Y126" s="99"/>
      <c r="Z126" s="99"/>
      <c r="AA126" s="99"/>
      <c r="AB126" s="673">
        <f t="shared" ref="AB126:AB176" si="72">P126+Q126+R126+S126+T126+U126+V126+W126+X126</f>
        <v>0</v>
      </c>
      <c r="AC126" s="673">
        <f t="shared" ref="AC126:AC176" si="73">Y126</f>
        <v>0</v>
      </c>
      <c r="AD126" s="99"/>
      <c r="AE126" s="99"/>
      <c r="AF126" s="99"/>
    </row>
    <row r="127" spans="1:32" x14ac:dyDescent="0.25">
      <c r="A127" s="602" t="s">
        <v>800</v>
      </c>
      <c r="B127" s="609" t="s">
        <v>43</v>
      </c>
      <c r="C127" s="99"/>
      <c r="D127" s="929"/>
      <c r="E127" s="929"/>
      <c r="F127" s="929"/>
      <c r="G127" s="929"/>
      <c r="H127" s="929"/>
      <c r="I127" s="929"/>
      <c r="J127" s="929"/>
      <c r="K127" s="929"/>
      <c r="L127" s="99"/>
      <c r="M127" s="99"/>
      <c r="N127" s="99"/>
      <c r="O127" s="99"/>
      <c r="P127" s="90"/>
      <c r="Q127" s="99"/>
      <c r="R127" s="673"/>
      <c r="S127" s="673"/>
      <c r="T127" s="673"/>
      <c r="U127" s="673"/>
      <c r="V127" s="673"/>
      <c r="W127" s="673"/>
      <c r="X127" s="673"/>
      <c r="Y127" s="99"/>
      <c r="Z127" s="99"/>
      <c r="AA127" s="99"/>
      <c r="AB127" s="673">
        <f t="shared" si="72"/>
        <v>0</v>
      </c>
      <c r="AC127" s="673">
        <f t="shared" si="73"/>
        <v>0</v>
      </c>
      <c r="AD127" s="99"/>
      <c r="AE127" s="99"/>
      <c r="AF127" s="99"/>
    </row>
    <row r="128" spans="1:32" x14ac:dyDescent="0.25">
      <c r="A128" s="213" t="s">
        <v>801</v>
      </c>
      <c r="B128" s="609"/>
      <c r="C128" s="207">
        <v>5000</v>
      </c>
      <c r="D128" s="998"/>
      <c r="E128" s="998"/>
      <c r="F128" s="998"/>
      <c r="G128" s="998"/>
      <c r="H128" s="998"/>
      <c r="I128" s="998"/>
      <c r="J128" s="998"/>
      <c r="K128" s="998"/>
      <c r="L128" s="151">
        <f t="shared" ref="L128:L159" si="74">SUM(C128:K128)</f>
        <v>5000</v>
      </c>
      <c r="M128" s="151">
        <f>L128/12*9</f>
        <v>3750</v>
      </c>
      <c r="N128" s="151">
        <f t="shared" ref="N128" si="75">L128/12</f>
        <v>416.66666666666669</v>
      </c>
      <c r="O128" s="43">
        <f>M128+N128</f>
        <v>4166.666666666667</v>
      </c>
      <c r="P128" s="90"/>
      <c r="Q128" s="99"/>
      <c r="R128" s="673"/>
      <c r="S128" s="673"/>
      <c r="T128" s="673"/>
      <c r="U128" s="673"/>
      <c r="V128" s="673"/>
      <c r="W128" s="673"/>
      <c r="X128" s="673"/>
      <c r="Y128" s="99"/>
      <c r="Z128" s="99"/>
      <c r="AA128" s="99"/>
      <c r="AB128" s="673">
        <f t="shared" si="72"/>
        <v>0</v>
      </c>
      <c r="AC128" s="673">
        <f t="shared" si="73"/>
        <v>0</v>
      </c>
      <c r="AD128" s="43">
        <f t="shared" ref="AD128" si="76">AB128+AC128</f>
        <v>0</v>
      </c>
      <c r="AE128" s="718">
        <f t="shared" ref="AE128:AE176" si="77">O128-AD128</f>
        <v>4166.666666666667</v>
      </c>
      <c r="AF128" s="475">
        <f t="shared" ref="AF128:AF176" si="78">L128-AD128</f>
        <v>5000</v>
      </c>
    </row>
    <row r="129" spans="1:32" x14ac:dyDescent="0.25">
      <c r="A129" s="602" t="s">
        <v>44</v>
      </c>
      <c r="B129" s="609" t="s">
        <v>140</v>
      </c>
      <c r="C129" s="207"/>
      <c r="D129" s="998"/>
      <c r="E129" s="998"/>
      <c r="F129" s="998"/>
      <c r="G129" s="998"/>
      <c r="H129" s="998"/>
      <c r="I129" s="998"/>
      <c r="J129" s="998"/>
      <c r="K129" s="998"/>
      <c r="L129" s="151">
        <f t="shared" si="74"/>
        <v>0</v>
      </c>
      <c r="M129" s="151">
        <f t="shared" ref="M129:M176" si="79">L129/12*9</f>
        <v>0</v>
      </c>
      <c r="N129" s="151">
        <f t="shared" ref="N129:N176" si="80">L129/12</f>
        <v>0</v>
      </c>
      <c r="O129" s="718">
        <f t="shared" ref="O129:O176" si="81">M129+N129</f>
        <v>0</v>
      </c>
      <c r="P129" s="90"/>
      <c r="Q129" s="99"/>
      <c r="R129" s="673"/>
      <c r="S129" s="673"/>
      <c r="T129" s="673"/>
      <c r="U129" s="673"/>
      <c r="V129" s="673"/>
      <c r="W129" s="673"/>
      <c r="X129" s="673"/>
      <c r="Y129" s="99"/>
      <c r="Z129" s="99"/>
      <c r="AA129" s="99"/>
      <c r="AB129" s="673">
        <f t="shared" si="72"/>
        <v>0</v>
      </c>
      <c r="AC129" s="673">
        <f t="shared" si="73"/>
        <v>0</v>
      </c>
      <c r="AD129" s="718">
        <f t="shared" ref="AD129:AD176" si="82">AB129+AC129</f>
        <v>0</v>
      </c>
      <c r="AE129" s="718">
        <f t="shared" si="77"/>
        <v>0</v>
      </c>
      <c r="AF129" s="475">
        <f t="shared" si="78"/>
        <v>0</v>
      </c>
    </row>
    <row r="130" spans="1:32" x14ac:dyDescent="0.25">
      <c r="A130" s="213" t="s">
        <v>801</v>
      </c>
      <c r="B130" s="609"/>
      <c r="C130" s="207">
        <v>5000</v>
      </c>
      <c r="D130" s="998"/>
      <c r="E130" s="998"/>
      <c r="F130" s="998"/>
      <c r="G130" s="998"/>
      <c r="H130" s="998"/>
      <c r="I130" s="998"/>
      <c r="J130" s="998"/>
      <c r="K130" s="998"/>
      <c r="L130" s="151">
        <f t="shared" si="74"/>
        <v>5000</v>
      </c>
      <c r="M130" s="151">
        <f t="shared" si="79"/>
        <v>3750</v>
      </c>
      <c r="N130" s="151">
        <f t="shared" si="80"/>
        <v>416.66666666666669</v>
      </c>
      <c r="O130" s="718">
        <f t="shared" si="81"/>
        <v>4166.666666666667</v>
      </c>
      <c r="P130" s="77"/>
      <c r="Q130" s="563"/>
      <c r="R130" s="725"/>
      <c r="S130" s="725"/>
      <c r="T130" s="725"/>
      <c r="U130" s="725"/>
      <c r="V130" s="725"/>
      <c r="W130" s="725"/>
      <c r="X130" s="725"/>
      <c r="Y130" s="563"/>
      <c r="Z130" s="563"/>
      <c r="AA130" s="563"/>
      <c r="AB130" s="673">
        <f t="shared" si="72"/>
        <v>0</v>
      </c>
      <c r="AC130" s="673">
        <f t="shared" si="73"/>
        <v>0</v>
      </c>
      <c r="AD130" s="718">
        <f t="shared" si="82"/>
        <v>0</v>
      </c>
      <c r="AE130" s="718">
        <f t="shared" si="77"/>
        <v>4166.666666666667</v>
      </c>
      <c r="AF130" s="475">
        <f t="shared" si="78"/>
        <v>5000</v>
      </c>
    </row>
    <row r="131" spans="1:32" x14ac:dyDescent="0.25">
      <c r="A131" s="602" t="s">
        <v>50</v>
      </c>
      <c r="B131" s="609" t="s">
        <v>51</v>
      </c>
      <c r="C131" s="207"/>
      <c r="D131" s="998"/>
      <c r="E131" s="998"/>
      <c r="F131" s="998"/>
      <c r="G131" s="998"/>
      <c r="H131" s="998"/>
      <c r="I131" s="998"/>
      <c r="J131" s="998"/>
      <c r="K131" s="998"/>
      <c r="L131" s="151">
        <f t="shared" si="74"/>
        <v>0</v>
      </c>
      <c r="M131" s="151">
        <f t="shared" si="79"/>
        <v>0</v>
      </c>
      <c r="N131" s="151">
        <f t="shared" si="80"/>
        <v>0</v>
      </c>
      <c r="O131" s="718">
        <f t="shared" si="81"/>
        <v>0</v>
      </c>
      <c r="P131" s="90"/>
      <c r="Q131" s="99"/>
      <c r="R131" s="673"/>
      <c r="S131" s="673"/>
      <c r="T131" s="673"/>
      <c r="U131" s="673"/>
      <c r="V131" s="673"/>
      <c r="W131" s="673"/>
      <c r="X131" s="673"/>
      <c r="Y131" s="99"/>
      <c r="Z131" s="99"/>
      <c r="AA131" s="99"/>
      <c r="AB131" s="673">
        <f t="shared" si="72"/>
        <v>0</v>
      </c>
      <c r="AC131" s="673">
        <f t="shared" si="73"/>
        <v>0</v>
      </c>
      <c r="AD131" s="718">
        <f t="shared" si="82"/>
        <v>0</v>
      </c>
      <c r="AE131" s="718">
        <f t="shared" si="77"/>
        <v>0</v>
      </c>
      <c r="AF131" s="475">
        <f t="shared" si="78"/>
        <v>0</v>
      </c>
    </row>
    <row r="132" spans="1:32" x14ac:dyDescent="0.25">
      <c r="A132" s="213" t="s">
        <v>802</v>
      </c>
      <c r="B132" s="609"/>
      <c r="C132" s="165">
        <v>10000</v>
      </c>
      <c r="D132" s="165"/>
      <c r="E132" s="165"/>
      <c r="F132" s="165"/>
      <c r="G132" s="165"/>
      <c r="H132" s="165"/>
      <c r="I132" s="165"/>
      <c r="J132" s="165"/>
      <c r="K132" s="165"/>
      <c r="L132" s="151">
        <f t="shared" si="74"/>
        <v>10000</v>
      </c>
      <c r="M132" s="151">
        <f t="shared" si="79"/>
        <v>7500</v>
      </c>
      <c r="N132" s="151">
        <f t="shared" si="80"/>
        <v>833.33333333333337</v>
      </c>
      <c r="O132" s="718">
        <f t="shared" si="81"/>
        <v>8333.3333333333339</v>
      </c>
      <c r="P132" s="90"/>
      <c r="Q132" s="99"/>
      <c r="R132" s="673"/>
      <c r="S132" s="673"/>
      <c r="T132" s="673"/>
      <c r="U132" s="673"/>
      <c r="V132" s="673"/>
      <c r="W132" s="673"/>
      <c r="X132" s="673"/>
      <c r="Y132" s="99"/>
      <c r="Z132" s="99"/>
      <c r="AA132" s="99"/>
      <c r="AB132" s="673">
        <f t="shared" si="72"/>
        <v>0</v>
      </c>
      <c r="AC132" s="673">
        <f t="shared" si="73"/>
        <v>0</v>
      </c>
      <c r="AD132" s="718">
        <f t="shared" si="82"/>
        <v>0</v>
      </c>
      <c r="AE132" s="718">
        <f t="shared" si="77"/>
        <v>8333.3333333333339</v>
      </c>
      <c r="AF132" s="475">
        <f t="shared" si="78"/>
        <v>10000</v>
      </c>
    </row>
    <row r="133" spans="1:32" x14ac:dyDescent="0.25">
      <c r="A133" s="213" t="s">
        <v>803</v>
      </c>
      <c r="B133" s="609"/>
      <c r="C133" s="165">
        <v>10000</v>
      </c>
      <c r="D133" s="165"/>
      <c r="E133" s="165"/>
      <c r="F133" s="165"/>
      <c r="G133" s="165"/>
      <c r="H133" s="165"/>
      <c r="I133" s="165"/>
      <c r="J133" s="165"/>
      <c r="K133" s="165"/>
      <c r="L133" s="151">
        <f t="shared" si="74"/>
        <v>10000</v>
      </c>
      <c r="M133" s="151">
        <f t="shared" si="79"/>
        <v>7500</v>
      </c>
      <c r="N133" s="151">
        <f t="shared" si="80"/>
        <v>833.33333333333337</v>
      </c>
      <c r="O133" s="718">
        <f t="shared" si="81"/>
        <v>8333.3333333333339</v>
      </c>
      <c r="P133" s="90"/>
      <c r="Q133" s="99"/>
      <c r="R133" s="673"/>
      <c r="S133" s="673"/>
      <c r="T133" s="673"/>
      <c r="U133" s="673"/>
      <c r="V133" s="673"/>
      <c r="W133" s="673"/>
      <c r="X133" s="673"/>
      <c r="Y133" s="99"/>
      <c r="Z133" s="99"/>
      <c r="AA133" s="99"/>
      <c r="AB133" s="673">
        <f t="shared" si="72"/>
        <v>0</v>
      </c>
      <c r="AC133" s="673">
        <f t="shared" si="73"/>
        <v>0</v>
      </c>
      <c r="AD133" s="718">
        <f t="shared" si="82"/>
        <v>0</v>
      </c>
      <c r="AE133" s="718">
        <f t="shared" si="77"/>
        <v>8333.3333333333339</v>
      </c>
      <c r="AF133" s="475">
        <f t="shared" si="78"/>
        <v>10000</v>
      </c>
    </row>
    <row r="134" spans="1:32" x14ac:dyDescent="0.25">
      <c r="A134" s="602" t="s">
        <v>253</v>
      </c>
      <c r="B134" s="609" t="s">
        <v>93</v>
      </c>
      <c r="C134" s="207"/>
      <c r="D134" s="998"/>
      <c r="E134" s="998"/>
      <c r="F134" s="998"/>
      <c r="G134" s="998"/>
      <c r="H134" s="998"/>
      <c r="I134" s="998"/>
      <c r="J134" s="998"/>
      <c r="K134" s="998"/>
      <c r="L134" s="151">
        <f t="shared" si="74"/>
        <v>0</v>
      </c>
      <c r="M134" s="151">
        <f t="shared" si="79"/>
        <v>0</v>
      </c>
      <c r="N134" s="151">
        <f t="shared" si="80"/>
        <v>0</v>
      </c>
      <c r="O134" s="718">
        <f t="shared" si="81"/>
        <v>0</v>
      </c>
      <c r="P134" s="90"/>
      <c r="Q134" s="99"/>
      <c r="R134" s="673"/>
      <c r="S134" s="673"/>
      <c r="T134" s="673"/>
      <c r="U134" s="673"/>
      <c r="V134" s="673"/>
      <c r="W134" s="673"/>
      <c r="X134" s="673"/>
      <c r="Y134" s="99"/>
      <c r="Z134" s="99"/>
      <c r="AA134" s="99"/>
      <c r="AB134" s="673">
        <f t="shared" si="72"/>
        <v>0</v>
      </c>
      <c r="AC134" s="673">
        <f t="shared" si="73"/>
        <v>0</v>
      </c>
      <c r="AD134" s="718">
        <f t="shared" si="82"/>
        <v>0</v>
      </c>
      <c r="AE134" s="718">
        <f t="shared" si="77"/>
        <v>0</v>
      </c>
      <c r="AF134" s="475">
        <f t="shared" si="78"/>
        <v>0</v>
      </c>
    </row>
    <row r="135" spans="1:32" x14ac:dyDescent="0.25">
      <c r="A135" s="213" t="s">
        <v>769</v>
      </c>
      <c r="B135" s="609"/>
      <c r="C135" s="165">
        <v>20000</v>
      </c>
      <c r="D135" s="165"/>
      <c r="E135" s="165"/>
      <c r="F135" s="165"/>
      <c r="G135" s="165"/>
      <c r="H135" s="165"/>
      <c r="I135" s="165"/>
      <c r="J135" s="165"/>
      <c r="K135" s="165"/>
      <c r="L135" s="151">
        <f t="shared" si="74"/>
        <v>20000</v>
      </c>
      <c r="M135" s="151">
        <f t="shared" si="79"/>
        <v>15000</v>
      </c>
      <c r="N135" s="151">
        <f t="shared" si="80"/>
        <v>1666.6666666666667</v>
      </c>
      <c r="O135" s="718">
        <f t="shared" si="81"/>
        <v>16666.666666666668</v>
      </c>
      <c r="P135" s="90"/>
      <c r="Q135" s="99"/>
      <c r="R135" s="673">
        <v>3540</v>
      </c>
      <c r="S135" s="673">
        <v>10000</v>
      </c>
      <c r="T135" s="673">
        <v>5200</v>
      </c>
      <c r="U135" s="673">
        <v>780</v>
      </c>
      <c r="V135" s="673"/>
      <c r="W135" s="673"/>
      <c r="X135" s="673"/>
      <c r="Y135" s="99"/>
      <c r="Z135" s="99"/>
      <c r="AA135" s="99"/>
      <c r="AB135" s="673">
        <f t="shared" si="72"/>
        <v>19520</v>
      </c>
      <c r="AC135" s="673">
        <f t="shared" si="73"/>
        <v>0</v>
      </c>
      <c r="AD135" s="718">
        <f t="shared" si="82"/>
        <v>19520</v>
      </c>
      <c r="AE135" s="718">
        <f t="shared" si="77"/>
        <v>-2853.3333333333321</v>
      </c>
      <c r="AF135" s="475">
        <f t="shared" si="78"/>
        <v>480</v>
      </c>
    </row>
    <row r="136" spans="1:32" x14ac:dyDescent="0.25">
      <c r="A136" s="602" t="s">
        <v>144</v>
      </c>
      <c r="B136" s="609" t="s">
        <v>83</v>
      </c>
      <c r="C136" s="207"/>
      <c r="D136" s="998"/>
      <c r="E136" s="998"/>
      <c r="F136" s="998"/>
      <c r="G136" s="998"/>
      <c r="H136" s="998"/>
      <c r="I136" s="998"/>
      <c r="J136" s="998"/>
      <c r="K136" s="998"/>
      <c r="L136" s="151">
        <f t="shared" si="74"/>
        <v>0</v>
      </c>
      <c r="M136" s="151">
        <f t="shared" si="79"/>
        <v>0</v>
      </c>
      <c r="N136" s="151">
        <f t="shared" si="80"/>
        <v>0</v>
      </c>
      <c r="O136" s="718">
        <f t="shared" si="81"/>
        <v>0</v>
      </c>
      <c r="P136" s="90"/>
      <c r="Q136" s="99"/>
      <c r="R136" s="673"/>
      <c r="S136" s="673"/>
      <c r="T136" s="673"/>
      <c r="U136" s="673"/>
      <c r="V136" s="673"/>
      <c r="W136" s="673"/>
      <c r="X136" s="673"/>
      <c r="Y136" s="99"/>
      <c r="Z136" s="99"/>
      <c r="AA136" s="99"/>
      <c r="AB136" s="673">
        <f t="shared" si="72"/>
        <v>0</v>
      </c>
      <c r="AC136" s="673">
        <f t="shared" si="73"/>
        <v>0</v>
      </c>
      <c r="AD136" s="718">
        <f t="shared" si="82"/>
        <v>0</v>
      </c>
      <c r="AE136" s="718">
        <f t="shared" si="77"/>
        <v>0</v>
      </c>
      <c r="AF136" s="475">
        <f t="shared" si="78"/>
        <v>0</v>
      </c>
    </row>
    <row r="137" spans="1:32" x14ac:dyDescent="0.25">
      <c r="A137" s="213" t="s">
        <v>805</v>
      </c>
      <c r="B137" s="609"/>
      <c r="C137" s="207">
        <v>35000</v>
      </c>
      <c r="D137" s="998"/>
      <c r="E137" s="998"/>
      <c r="F137" s="998"/>
      <c r="G137" s="998"/>
      <c r="H137" s="998"/>
      <c r="I137" s="998"/>
      <c r="J137" s="998"/>
      <c r="K137" s="998"/>
      <c r="L137" s="151">
        <f t="shared" si="74"/>
        <v>35000</v>
      </c>
      <c r="M137" s="151">
        <f t="shared" si="79"/>
        <v>26250</v>
      </c>
      <c r="N137" s="151">
        <f t="shared" si="80"/>
        <v>2916.6666666666665</v>
      </c>
      <c r="O137" s="718">
        <f t="shared" si="81"/>
        <v>29166.666666666668</v>
      </c>
      <c r="P137" s="90"/>
      <c r="Q137" s="99"/>
      <c r="R137" s="673"/>
      <c r="S137" s="673"/>
      <c r="T137" s="673"/>
      <c r="U137" s="673"/>
      <c r="V137" s="673"/>
      <c r="W137" s="673"/>
      <c r="X137" s="673"/>
      <c r="Y137" s="99"/>
      <c r="Z137" s="99"/>
      <c r="AA137" s="99"/>
      <c r="AB137" s="673">
        <f t="shared" si="72"/>
        <v>0</v>
      </c>
      <c r="AC137" s="673">
        <f t="shared" si="73"/>
        <v>0</v>
      </c>
      <c r="AD137" s="718">
        <f t="shared" si="82"/>
        <v>0</v>
      </c>
      <c r="AE137" s="718">
        <f t="shared" si="77"/>
        <v>29166.666666666668</v>
      </c>
      <c r="AF137" s="475">
        <f t="shared" si="78"/>
        <v>35000</v>
      </c>
    </row>
    <row r="138" spans="1:32" x14ac:dyDescent="0.25">
      <c r="A138" s="213" t="s">
        <v>804</v>
      </c>
      <c r="B138" s="609"/>
      <c r="C138" s="207">
        <v>5000</v>
      </c>
      <c r="D138" s="998"/>
      <c r="E138" s="998"/>
      <c r="F138" s="998"/>
      <c r="G138" s="998"/>
      <c r="H138" s="998"/>
      <c r="I138" s="998"/>
      <c r="J138" s="998"/>
      <c r="K138" s="998"/>
      <c r="L138" s="151">
        <f t="shared" si="74"/>
        <v>5000</v>
      </c>
      <c r="M138" s="151">
        <f t="shared" si="79"/>
        <v>3750</v>
      </c>
      <c r="N138" s="151">
        <f t="shared" si="80"/>
        <v>416.66666666666669</v>
      </c>
      <c r="O138" s="718">
        <f t="shared" si="81"/>
        <v>4166.666666666667</v>
      </c>
      <c r="P138" s="77"/>
      <c r="Q138" s="563"/>
      <c r="R138" s="725"/>
      <c r="S138" s="725"/>
      <c r="T138" s="725"/>
      <c r="U138" s="725"/>
      <c r="V138" s="725"/>
      <c r="W138" s="725"/>
      <c r="X138" s="725"/>
      <c r="Y138" s="563"/>
      <c r="Z138" s="563"/>
      <c r="AA138" s="563"/>
      <c r="AB138" s="673">
        <f t="shared" si="72"/>
        <v>0</v>
      </c>
      <c r="AC138" s="673">
        <f t="shared" si="73"/>
        <v>0</v>
      </c>
      <c r="AD138" s="718">
        <f t="shared" si="82"/>
        <v>0</v>
      </c>
      <c r="AE138" s="718">
        <f t="shared" si="77"/>
        <v>4166.666666666667</v>
      </c>
      <c r="AF138" s="475">
        <f t="shared" si="78"/>
        <v>5000</v>
      </c>
    </row>
    <row r="139" spans="1:32" x14ac:dyDescent="0.25">
      <c r="A139" s="602" t="s">
        <v>274</v>
      </c>
      <c r="B139" s="609" t="s">
        <v>104</v>
      </c>
      <c r="C139" s="207"/>
      <c r="D139" s="998"/>
      <c r="E139" s="998"/>
      <c r="F139" s="998"/>
      <c r="G139" s="998"/>
      <c r="H139" s="998"/>
      <c r="I139" s="998"/>
      <c r="J139" s="998"/>
      <c r="K139" s="998"/>
      <c r="L139" s="151">
        <f t="shared" si="74"/>
        <v>0</v>
      </c>
      <c r="M139" s="151">
        <f t="shared" si="79"/>
        <v>0</v>
      </c>
      <c r="N139" s="151">
        <f t="shared" si="80"/>
        <v>0</v>
      </c>
      <c r="O139" s="718">
        <f t="shared" si="81"/>
        <v>0</v>
      </c>
      <c r="P139" s="77"/>
      <c r="Q139" s="563"/>
      <c r="R139" s="725"/>
      <c r="S139" s="725"/>
      <c r="T139" s="725"/>
      <c r="U139" s="725"/>
      <c r="V139" s="725"/>
      <c r="W139" s="725"/>
      <c r="X139" s="725"/>
      <c r="Y139" s="563"/>
      <c r="Z139" s="563"/>
      <c r="AA139" s="563"/>
      <c r="AB139" s="673">
        <f t="shared" si="72"/>
        <v>0</v>
      </c>
      <c r="AC139" s="673">
        <f t="shared" si="73"/>
        <v>0</v>
      </c>
      <c r="AD139" s="718">
        <f t="shared" si="82"/>
        <v>0</v>
      </c>
      <c r="AE139" s="718">
        <f t="shared" si="77"/>
        <v>0</v>
      </c>
      <c r="AF139" s="475">
        <f t="shared" si="78"/>
        <v>0</v>
      </c>
    </row>
    <row r="140" spans="1:32" ht="30.75" customHeight="1" x14ac:dyDescent="0.25">
      <c r="A140" s="213" t="s">
        <v>806</v>
      </c>
      <c r="B140" s="609"/>
      <c r="C140" s="207">
        <v>1230000</v>
      </c>
      <c r="D140" s="998"/>
      <c r="E140" s="998"/>
      <c r="F140" s="998"/>
      <c r="G140" s="998"/>
      <c r="H140" s="998"/>
      <c r="I140" s="998"/>
      <c r="J140" s="998"/>
      <c r="K140" s="998"/>
      <c r="L140" s="151">
        <f t="shared" si="74"/>
        <v>1230000</v>
      </c>
      <c r="M140" s="151">
        <f t="shared" si="79"/>
        <v>922500</v>
      </c>
      <c r="N140" s="151">
        <f t="shared" si="80"/>
        <v>102500</v>
      </c>
      <c r="O140" s="718">
        <f t="shared" si="81"/>
        <v>1025000</v>
      </c>
      <c r="P140" s="90"/>
      <c r="Q140" s="99"/>
      <c r="R140" s="673">
        <v>307500</v>
      </c>
      <c r="S140" s="673"/>
      <c r="T140" s="673"/>
      <c r="U140" s="673"/>
      <c r="V140" s="673">
        <v>307500</v>
      </c>
      <c r="W140" s="673"/>
      <c r="X140" s="673">
        <v>307500</v>
      </c>
      <c r="Y140" s="99"/>
      <c r="Z140" s="99"/>
      <c r="AA140" s="99"/>
      <c r="AB140" s="673">
        <f t="shared" si="72"/>
        <v>922500</v>
      </c>
      <c r="AC140" s="673">
        <f t="shared" si="73"/>
        <v>0</v>
      </c>
      <c r="AD140" s="718">
        <f t="shared" si="82"/>
        <v>922500</v>
      </c>
      <c r="AE140" s="718">
        <f t="shared" si="77"/>
        <v>102500</v>
      </c>
      <c r="AF140" s="475">
        <f t="shared" si="78"/>
        <v>307500</v>
      </c>
    </row>
    <row r="141" spans="1:32" x14ac:dyDescent="0.25">
      <c r="A141" s="213" t="s">
        <v>807</v>
      </c>
      <c r="B141" s="609"/>
      <c r="C141" s="207">
        <v>388800</v>
      </c>
      <c r="D141" s="998"/>
      <c r="E141" s="998"/>
      <c r="F141" s="998"/>
      <c r="G141" s="998"/>
      <c r="H141" s="998"/>
      <c r="I141" s="998"/>
      <c r="J141" s="998"/>
      <c r="K141" s="998"/>
      <c r="L141" s="151">
        <f t="shared" si="74"/>
        <v>388800</v>
      </c>
      <c r="M141" s="151">
        <f t="shared" si="79"/>
        <v>291600</v>
      </c>
      <c r="N141" s="151">
        <f t="shared" si="80"/>
        <v>32400</v>
      </c>
      <c r="O141" s="718">
        <f t="shared" si="81"/>
        <v>324000</v>
      </c>
      <c r="P141" s="90"/>
      <c r="Q141" s="99"/>
      <c r="R141" s="673">
        <v>97200</v>
      </c>
      <c r="S141" s="673"/>
      <c r="T141" s="673"/>
      <c r="U141" s="673">
        <v>97200</v>
      </c>
      <c r="V141" s="673"/>
      <c r="W141" s="673"/>
      <c r="X141" s="673">
        <v>97200</v>
      </c>
      <c r="Y141" s="99"/>
      <c r="Z141" s="99"/>
      <c r="AA141" s="99"/>
      <c r="AB141" s="673">
        <f t="shared" si="72"/>
        <v>291600</v>
      </c>
      <c r="AC141" s="673">
        <f t="shared" si="73"/>
        <v>0</v>
      </c>
      <c r="AD141" s="718">
        <f t="shared" si="82"/>
        <v>291600</v>
      </c>
      <c r="AE141" s="718">
        <f t="shared" si="77"/>
        <v>32400</v>
      </c>
      <c r="AF141" s="475">
        <f t="shared" si="78"/>
        <v>97200</v>
      </c>
    </row>
    <row r="142" spans="1:32" x14ac:dyDescent="0.25">
      <c r="A142" s="216" t="s">
        <v>282</v>
      </c>
      <c r="B142" s="610"/>
      <c r="C142" s="207"/>
      <c r="D142" s="998"/>
      <c r="E142" s="998"/>
      <c r="F142" s="998"/>
      <c r="G142" s="998"/>
      <c r="H142" s="998"/>
      <c r="I142" s="998"/>
      <c r="J142" s="998"/>
      <c r="K142" s="998"/>
      <c r="L142" s="151">
        <f t="shared" si="74"/>
        <v>0</v>
      </c>
      <c r="M142" s="151">
        <f t="shared" si="79"/>
        <v>0</v>
      </c>
      <c r="N142" s="151">
        <f t="shared" si="80"/>
        <v>0</v>
      </c>
      <c r="O142" s="718">
        <f t="shared" si="81"/>
        <v>0</v>
      </c>
      <c r="P142" s="90"/>
      <c r="Q142" s="99"/>
      <c r="S142" s="673"/>
      <c r="T142" s="673"/>
      <c r="U142" s="673"/>
      <c r="V142" s="673"/>
      <c r="W142" s="673"/>
      <c r="X142" s="673"/>
      <c r="Y142" s="99"/>
      <c r="Z142" s="99"/>
      <c r="AA142" s="99"/>
      <c r="AB142" s="673">
        <f t="shared" si="72"/>
        <v>0</v>
      </c>
      <c r="AC142" s="673">
        <f t="shared" si="73"/>
        <v>0</v>
      </c>
      <c r="AD142" s="718">
        <f t="shared" si="82"/>
        <v>0</v>
      </c>
      <c r="AE142" s="718">
        <f t="shared" si="77"/>
        <v>0</v>
      </c>
      <c r="AF142" s="475">
        <f t="shared" si="78"/>
        <v>0</v>
      </c>
    </row>
    <row r="143" spans="1:32" x14ac:dyDescent="0.25">
      <c r="A143" s="603" t="s">
        <v>50</v>
      </c>
      <c r="B143" s="609" t="s">
        <v>51</v>
      </c>
      <c r="C143" s="207"/>
      <c r="D143" s="998"/>
      <c r="E143" s="998"/>
      <c r="F143" s="998"/>
      <c r="G143" s="998"/>
      <c r="H143" s="998"/>
      <c r="I143" s="998"/>
      <c r="J143" s="998"/>
      <c r="K143" s="998"/>
      <c r="L143" s="151">
        <f t="shared" si="74"/>
        <v>0</v>
      </c>
      <c r="M143" s="151">
        <f t="shared" si="79"/>
        <v>0</v>
      </c>
      <c r="N143" s="151">
        <f t="shared" si="80"/>
        <v>0</v>
      </c>
      <c r="O143" s="718">
        <f t="shared" si="81"/>
        <v>0</v>
      </c>
      <c r="P143" s="373"/>
      <c r="Q143" s="211"/>
      <c r="R143" s="373"/>
      <c r="S143" s="373"/>
      <c r="T143" s="373"/>
      <c r="U143" s="373"/>
      <c r="V143" s="373"/>
      <c r="W143" s="373"/>
      <c r="X143" s="373"/>
      <c r="Y143" s="211"/>
      <c r="Z143" s="211"/>
      <c r="AA143" s="211"/>
      <c r="AB143" s="673">
        <f t="shared" si="72"/>
        <v>0</v>
      </c>
      <c r="AC143" s="673">
        <f t="shared" si="73"/>
        <v>0</v>
      </c>
      <c r="AD143" s="718">
        <f t="shared" si="82"/>
        <v>0</v>
      </c>
      <c r="AE143" s="718">
        <f t="shared" si="77"/>
        <v>0</v>
      </c>
      <c r="AF143" s="475">
        <f t="shared" si="78"/>
        <v>0</v>
      </c>
    </row>
    <row r="144" spans="1:32" x14ac:dyDescent="0.25">
      <c r="A144" s="604" t="s">
        <v>808</v>
      </c>
      <c r="B144" s="47"/>
      <c r="C144" s="207">
        <v>10000</v>
      </c>
      <c r="D144" s="998"/>
      <c r="E144" s="998"/>
      <c r="F144" s="998"/>
      <c r="G144" s="998"/>
      <c r="H144" s="998"/>
      <c r="I144" s="998"/>
      <c r="J144" s="998"/>
      <c r="K144" s="998"/>
      <c r="L144" s="151">
        <f t="shared" si="74"/>
        <v>10000</v>
      </c>
      <c r="M144" s="151">
        <f t="shared" si="79"/>
        <v>7500</v>
      </c>
      <c r="N144" s="151">
        <f t="shared" si="80"/>
        <v>833.33333333333337</v>
      </c>
      <c r="O144" s="718">
        <f t="shared" si="81"/>
        <v>8333.3333333333339</v>
      </c>
      <c r="P144" s="90"/>
      <c r="Q144" s="99"/>
      <c r="R144" s="673">
        <v>9816</v>
      </c>
      <c r="S144" s="673"/>
      <c r="T144" s="673"/>
      <c r="U144" s="673"/>
      <c r="V144" s="673"/>
      <c r="W144" s="673"/>
      <c r="X144" s="673"/>
      <c r="Y144" s="99"/>
      <c r="Z144" s="99"/>
      <c r="AA144" s="99"/>
      <c r="AB144" s="673">
        <f t="shared" si="72"/>
        <v>9816</v>
      </c>
      <c r="AC144" s="673">
        <f t="shared" si="73"/>
        <v>0</v>
      </c>
      <c r="AD144" s="718">
        <f t="shared" si="82"/>
        <v>9816</v>
      </c>
      <c r="AE144" s="718">
        <f t="shared" si="77"/>
        <v>-1482.6666666666661</v>
      </c>
      <c r="AF144" s="475">
        <f t="shared" si="78"/>
        <v>184</v>
      </c>
    </row>
    <row r="145" spans="1:32" ht="27" x14ac:dyDescent="0.25">
      <c r="A145" s="604" t="s">
        <v>809</v>
      </c>
      <c r="B145" s="611"/>
      <c r="C145" s="207">
        <v>10000</v>
      </c>
      <c r="D145" s="998"/>
      <c r="E145" s="998"/>
      <c r="F145" s="998"/>
      <c r="G145" s="998"/>
      <c r="H145" s="998"/>
      <c r="I145" s="998"/>
      <c r="J145" s="998"/>
      <c r="K145" s="998"/>
      <c r="L145" s="151">
        <f t="shared" si="74"/>
        <v>10000</v>
      </c>
      <c r="M145" s="151">
        <f t="shared" si="79"/>
        <v>7500</v>
      </c>
      <c r="N145" s="151">
        <f t="shared" si="80"/>
        <v>833.33333333333337</v>
      </c>
      <c r="O145" s="718">
        <f t="shared" si="81"/>
        <v>8333.3333333333339</v>
      </c>
      <c r="P145" s="90"/>
      <c r="Q145" s="99"/>
      <c r="R145" s="673"/>
      <c r="S145" s="673"/>
      <c r="T145" s="673"/>
      <c r="U145" s="673"/>
      <c r="V145" s="673"/>
      <c r="W145" s="673"/>
      <c r="X145" s="673"/>
      <c r="Y145" s="99"/>
      <c r="Z145" s="99"/>
      <c r="AA145" s="99"/>
      <c r="AB145" s="673">
        <f t="shared" si="72"/>
        <v>0</v>
      </c>
      <c r="AC145" s="673">
        <f t="shared" si="73"/>
        <v>0</v>
      </c>
      <c r="AD145" s="718">
        <f t="shared" si="82"/>
        <v>0</v>
      </c>
      <c r="AE145" s="718">
        <f t="shared" si="77"/>
        <v>8333.3333333333339</v>
      </c>
      <c r="AF145" s="475">
        <f t="shared" si="78"/>
        <v>10000</v>
      </c>
    </row>
    <row r="146" spans="1:32" x14ac:dyDescent="0.25">
      <c r="A146" s="604" t="s">
        <v>810</v>
      </c>
      <c r="B146" s="47"/>
      <c r="C146" s="207">
        <v>25000</v>
      </c>
      <c r="D146" s="998"/>
      <c r="E146" s="998"/>
      <c r="F146" s="998"/>
      <c r="G146" s="998"/>
      <c r="H146" s="998"/>
      <c r="I146" s="998"/>
      <c r="J146" s="998"/>
      <c r="K146" s="998"/>
      <c r="L146" s="151">
        <f t="shared" si="74"/>
        <v>25000</v>
      </c>
      <c r="M146" s="151">
        <f t="shared" si="79"/>
        <v>18750</v>
      </c>
      <c r="N146" s="151">
        <f t="shared" si="80"/>
        <v>2083.3333333333335</v>
      </c>
      <c r="O146" s="718">
        <f t="shared" si="81"/>
        <v>20833.333333333332</v>
      </c>
      <c r="P146" s="90"/>
      <c r="Q146" s="99"/>
      <c r="R146" s="673">
        <v>25000</v>
      </c>
      <c r="S146" s="673"/>
      <c r="T146" s="673"/>
      <c r="U146" s="673"/>
      <c r="V146" s="673"/>
      <c r="W146" s="673"/>
      <c r="X146" s="673"/>
      <c r="Y146" s="99"/>
      <c r="Z146" s="99"/>
      <c r="AA146" s="99"/>
      <c r="AB146" s="673">
        <f t="shared" si="72"/>
        <v>25000</v>
      </c>
      <c r="AC146" s="673">
        <f t="shared" si="73"/>
        <v>0</v>
      </c>
      <c r="AD146" s="718">
        <f t="shared" si="82"/>
        <v>25000</v>
      </c>
      <c r="AE146" s="718">
        <f t="shared" si="77"/>
        <v>-4166.6666666666679</v>
      </c>
      <c r="AF146" s="475">
        <f t="shared" si="78"/>
        <v>0</v>
      </c>
    </row>
    <row r="147" spans="1:32" x14ac:dyDescent="0.25">
      <c r="A147" s="605" t="s">
        <v>811</v>
      </c>
      <c r="B147" s="47"/>
      <c r="C147" s="207">
        <f>10000-5000</f>
        <v>5000</v>
      </c>
      <c r="D147" s="998"/>
      <c r="E147" s="998"/>
      <c r="F147" s="998"/>
      <c r="G147" s="998"/>
      <c r="H147" s="998"/>
      <c r="I147" s="998"/>
      <c r="J147" s="998"/>
      <c r="K147" s="998"/>
      <c r="L147" s="151">
        <f t="shared" si="74"/>
        <v>5000</v>
      </c>
      <c r="M147" s="151">
        <f t="shared" si="79"/>
        <v>3750</v>
      </c>
      <c r="N147" s="151">
        <f t="shared" si="80"/>
        <v>416.66666666666669</v>
      </c>
      <c r="O147" s="718">
        <f t="shared" si="81"/>
        <v>4166.666666666667</v>
      </c>
      <c r="P147" s="373"/>
      <c r="Q147" s="211"/>
      <c r="R147" s="373"/>
      <c r="S147" s="373"/>
      <c r="T147" s="373"/>
      <c r="U147" s="373"/>
      <c r="V147" s="373"/>
      <c r="W147" s="373"/>
      <c r="X147" s="373"/>
      <c r="Y147" s="211"/>
      <c r="Z147" s="211"/>
      <c r="AA147" s="211"/>
      <c r="AB147" s="673">
        <f t="shared" si="72"/>
        <v>0</v>
      </c>
      <c r="AC147" s="673">
        <f t="shared" si="73"/>
        <v>0</v>
      </c>
      <c r="AD147" s="718">
        <f t="shared" si="82"/>
        <v>0</v>
      </c>
      <c r="AE147" s="718">
        <f t="shared" si="77"/>
        <v>4166.666666666667</v>
      </c>
      <c r="AF147" s="475">
        <f t="shared" si="78"/>
        <v>5000</v>
      </c>
    </row>
    <row r="148" spans="1:32" ht="32.25" customHeight="1" x14ac:dyDescent="0.25">
      <c r="A148" s="604" t="s">
        <v>812</v>
      </c>
      <c r="B148" s="611"/>
      <c r="C148" s="207">
        <f>-5000+10000</f>
        <v>5000</v>
      </c>
      <c r="D148" s="998"/>
      <c r="E148" s="998"/>
      <c r="F148" s="998"/>
      <c r="G148" s="998"/>
      <c r="H148" s="998"/>
      <c r="I148" s="998"/>
      <c r="J148" s="998"/>
      <c r="K148" s="998"/>
      <c r="L148" s="151">
        <f t="shared" si="74"/>
        <v>5000</v>
      </c>
      <c r="M148" s="151">
        <f t="shared" si="79"/>
        <v>3750</v>
      </c>
      <c r="N148" s="151">
        <f t="shared" si="80"/>
        <v>416.66666666666669</v>
      </c>
      <c r="O148" s="718">
        <f t="shared" si="81"/>
        <v>4166.666666666667</v>
      </c>
      <c r="P148" s="373"/>
      <c r="Q148" s="597"/>
      <c r="R148" s="373"/>
      <c r="S148" s="373"/>
      <c r="T148" s="373"/>
      <c r="U148" s="373"/>
      <c r="V148" s="373"/>
      <c r="W148" s="373"/>
      <c r="X148" s="373"/>
      <c r="Y148" s="597"/>
      <c r="Z148" s="597"/>
      <c r="AA148" s="597"/>
      <c r="AB148" s="673">
        <f t="shared" si="72"/>
        <v>0</v>
      </c>
      <c r="AC148" s="673">
        <f t="shared" si="73"/>
        <v>0</v>
      </c>
      <c r="AD148" s="718">
        <f t="shared" si="82"/>
        <v>0</v>
      </c>
      <c r="AE148" s="718">
        <f t="shared" si="77"/>
        <v>4166.666666666667</v>
      </c>
      <c r="AF148" s="475">
        <f t="shared" si="78"/>
        <v>5000</v>
      </c>
    </row>
    <row r="149" spans="1:32" x14ac:dyDescent="0.25">
      <c r="A149" s="605" t="s">
        <v>813</v>
      </c>
      <c r="B149" s="609"/>
      <c r="C149" s="207">
        <v>10000</v>
      </c>
      <c r="D149" s="998"/>
      <c r="E149" s="998"/>
      <c r="F149" s="998"/>
      <c r="G149" s="998"/>
      <c r="H149" s="998"/>
      <c r="I149" s="998"/>
      <c r="J149" s="998"/>
      <c r="K149" s="998"/>
      <c r="L149" s="151">
        <f t="shared" si="74"/>
        <v>10000</v>
      </c>
      <c r="M149" s="151">
        <f t="shared" si="79"/>
        <v>7500</v>
      </c>
      <c r="N149" s="151">
        <f t="shared" si="80"/>
        <v>833.33333333333337</v>
      </c>
      <c r="O149" s="718">
        <f t="shared" si="81"/>
        <v>8333.3333333333339</v>
      </c>
      <c r="P149" s="90"/>
      <c r="Q149" s="99"/>
      <c r="R149" s="673"/>
      <c r="S149" s="673"/>
      <c r="T149" s="673"/>
      <c r="U149" s="673"/>
      <c r="V149" s="673"/>
      <c r="W149" s="673">
        <v>9980</v>
      </c>
      <c r="X149" s="673"/>
      <c r="Y149" s="99"/>
      <c r="Z149" s="99"/>
      <c r="AA149" s="99"/>
      <c r="AB149" s="673">
        <f t="shared" si="72"/>
        <v>9980</v>
      </c>
      <c r="AC149" s="673">
        <f t="shared" si="73"/>
        <v>0</v>
      </c>
      <c r="AD149" s="718">
        <f t="shared" si="82"/>
        <v>9980</v>
      </c>
      <c r="AE149" s="718">
        <f t="shared" si="77"/>
        <v>-1646.6666666666661</v>
      </c>
      <c r="AF149" s="475">
        <f t="shared" si="78"/>
        <v>20</v>
      </c>
    </row>
    <row r="150" spans="1:32" x14ac:dyDescent="0.25">
      <c r="A150" s="603" t="s">
        <v>814</v>
      </c>
      <c r="B150" s="609" t="s">
        <v>273</v>
      </c>
      <c r="C150" s="207"/>
      <c r="D150" s="998"/>
      <c r="E150" s="998"/>
      <c r="F150" s="998"/>
      <c r="G150" s="998"/>
      <c r="H150" s="998"/>
      <c r="I150" s="998"/>
      <c r="J150" s="998"/>
      <c r="K150" s="998"/>
      <c r="L150" s="151">
        <f t="shared" si="74"/>
        <v>0</v>
      </c>
      <c r="M150" s="151">
        <f t="shared" si="79"/>
        <v>0</v>
      </c>
      <c r="N150" s="151">
        <f t="shared" si="80"/>
        <v>0</v>
      </c>
      <c r="O150" s="718">
        <f t="shared" si="81"/>
        <v>0</v>
      </c>
      <c r="P150" s="90"/>
      <c r="Q150" s="99"/>
      <c r="R150" s="673"/>
      <c r="S150" s="673"/>
      <c r="T150" s="673"/>
      <c r="U150" s="673"/>
      <c r="V150" s="673"/>
      <c r="W150" s="673"/>
      <c r="X150" s="673"/>
      <c r="Y150" s="99"/>
      <c r="Z150" s="99"/>
      <c r="AA150" s="99"/>
      <c r="AB150" s="673">
        <f t="shared" si="72"/>
        <v>0</v>
      </c>
      <c r="AC150" s="673">
        <f t="shared" si="73"/>
        <v>0</v>
      </c>
      <c r="AD150" s="718">
        <f t="shared" si="82"/>
        <v>0</v>
      </c>
      <c r="AE150" s="718">
        <f t="shared" si="77"/>
        <v>0</v>
      </c>
      <c r="AF150" s="475">
        <f t="shared" si="78"/>
        <v>0</v>
      </c>
    </row>
    <row r="151" spans="1:32" x14ac:dyDescent="0.25">
      <c r="A151" s="582" t="s">
        <v>815</v>
      </c>
      <c r="B151" s="609"/>
      <c r="C151" s="207">
        <v>160000</v>
      </c>
      <c r="D151" s="998"/>
      <c r="E151" s="998"/>
      <c r="F151" s="998"/>
      <c r="G151" s="998"/>
      <c r="H151" s="998"/>
      <c r="I151" s="998"/>
      <c r="J151" s="998"/>
      <c r="K151" s="998">
        <v>340000</v>
      </c>
      <c r="L151" s="151">
        <f t="shared" si="74"/>
        <v>500000</v>
      </c>
      <c r="M151" s="151">
        <f t="shared" si="79"/>
        <v>375000</v>
      </c>
      <c r="N151" s="151">
        <f t="shared" si="80"/>
        <v>41666.666666666664</v>
      </c>
      <c r="O151" s="718">
        <f t="shared" si="81"/>
        <v>416666.66666666669</v>
      </c>
      <c r="P151" s="90"/>
      <c r="Q151" s="99"/>
      <c r="R151" s="673"/>
      <c r="S151" s="673"/>
      <c r="T151" s="673"/>
      <c r="U151" s="673"/>
      <c r="V151" s="673"/>
      <c r="W151" s="673"/>
      <c r="X151" s="673"/>
      <c r="Y151" s="99"/>
      <c r="Z151" s="99"/>
      <c r="AA151" s="99"/>
      <c r="AB151" s="673">
        <f t="shared" si="72"/>
        <v>0</v>
      </c>
      <c r="AC151" s="673">
        <f t="shared" si="73"/>
        <v>0</v>
      </c>
      <c r="AD151" s="718">
        <f t="shared" si="82"/>
        <v>0</v>
      </c>
      <c r="AE151" s="718">
        <f t="shared" si="77"/>
        <v>416666.66666666669</v>
      </c>
      <c r="AF151" s="475">
        <f t="shared" si="78"/>
        <v>500000</v>
      </c>
    </row>
    <row r="152" spans="1:32" x14ac:dyDescent="0.25">
      <c r="A152" s="603" t="s">
        <v>816</v>
      </c>
      <c r="B152" s="609" t="s">
        <v>279</v>
      </c>
      <c r="C152" s="207"/>
      <c r="D152" s="998"/>
      <c r="E152" s="998"/>
      <c r="F152" s="998"/>
      <c r="G152" s="998"/>
      <c r="H152" s="998"/>
      <c r="I152" s="998"/>
      <c r="J152" s="998"/>
      <c r="K152" s="998"/>
      <c r="L152" s="151">
        <f t="shared" si="74"/>
        <v>0</v>
      </c>
      <c r="M152" s="151">
        <f t="shared" si="79"/>
        <v>0</v>
      </c>
      <c r="N152" s="151">
        <f t="shared" si="80"/>
        <v>0</v>
      </c>
      <c r="O152" s="718">
        <f t="shared" si="81"/>
        <v>0</v>
      </c>
      <c r="P152" s="90"/>
      <c r="Q152" s="99"/>
      <c r="R152" s="673"/>
      <c r="S152" s="673"/>
      <c r="T152" s="673"/>
      <c r="U152" s="673"/>
      <c r="V152" s="673"/>
      <c r="W152" s="673"/>
      <c r="X152" s="673"/>
      <c r="Y152" s="99"/>
      <c r="Z152" s="99"/>
      <c r="AA152" s="99"/>
      <c r="AB152" s="673">
        <f t="shared" si="72"/>
        <v>0</v>
      </c>
      <c r="AC152" s="673">
        <f t="shared" si="73"/>
        <v>0</v>
      </c>
      <c r="AD152" s="718">
        <f t="shared" si="82"/>
        <v>0</v>
      </c>
      <c r="AE152" s="718">
        <f t="shared" si="77"/>
        <v>0</v>
      </c>
      <c r="AF152" s="475">
        <f t="shared" si="78"/>
        <v>0</v>
      </c>
    </row>
    <row r="153" spans="1:32" x14ac:dyDescent="0.25">
      <c r="A153" s="582" t="s">
        <v>817</v>
      </c>
      <c r="B153" s="609"/>
      <c r="C153" s="207">
        <v>30000</v>
      </c>
      <c r="D153" s="998"/>
      <c r="E153" s="998"/>
      <c r="F153" s="998"/>
      <c r="G153" s="998"/>
      <c r="H153" s="998"/>
      <c r="I153" s="998"/>
      <c r="J153" s="998"/>
      <c r="K153" s="998"/>
      <c r="L153" s="151">
        <f t="shared" si="74"/>
        <v>30000</v>
      </c>
      <c r="M153" s="151">
        <f t="shared" si="79"/>
        <v>22500</v>
      </c>
      <c r="N153" s="151">
        <f t="shared" si="80"/>
        <v>2500</v>
      </c>
      <c r="O153" s="718">
        <f t="shared" si="81"/>
        <v>25000</v>
      </c>
      <c r="P153" s="90"/>
      <c r="Q153" s="99"/>
      <c r="R153" s="673"/>
      <c r="S153" s="673"/>
      <c r="T153" s="673"/>
      <c r="U153" s="673"/>
      <c r="V153" s="673"/>
      <c r="W153" s="673"/>
      <c r="X153" s="673"/>
      <c r="Y153" s="99"/>
      <c r="Z153" s="99"/>
      <c r="AA153" s="99"/>
      <c r="AB153" s="673">
        <f t="shared" si="72"/>
        <v>0</v>
      </c>
      <c r="AC153" s="673">
        <f t="shared" si="73"/>
        <v>0</v>
      </c>
      <c r="AD153" s="718">
        <f t="shared" si="82"/>
        <v>0</v>
      </c>
      <c r="AE153" s="718">
        <f t="shared" si="77"/>
        <v>25000</v>
      </c>
      <c r="AF153" s="475">
        <f t="shared" si="78"/>
        <v>30000</v>
      </c>
    </row>
    <row r="154" spans="1:32" x14ac:dyDescent="0.25">
      <c r="A154" s="582" t="s">
        <v>818</v>
      </c>
      <c r="B154" s="609"/>
      <c r="C154" s="207">
        <v>30000</v>
      </c>
      <c r="D154" s="998"/>
      <c r="E154" s="998"/>
      <c r="F154" s="998"/>
      <c r="G154" s="998"/>
      <c r="H154" s="998"/>
      <c r="I154" s="998"/>
      <c r="J154" s="998"/>
      <c r="K154" s="998"/>
      <c r="L154" s="151">
        <f t="shared" si="74"/>
        <v>30000</v>
      </c>
      <c r="M154" s="151">
        <f t="shared" si="79"/>
        <v>22500</v>
      </c>
      <c r="N154" s="151">
        <f t="shared" si="80"/>
        <v>2500</v>
      </c>
      <c r="O154" s="718">
        <f t="shared" si="81"/>
        <v>25000</v>
      </c>
      <c r="P154" s="381"/>
      <c r="Q154" s="232"/>
      <c r="R154" s="381"/>
      <c r="S154" s="381"/>
      <c r="T154" s="381"/>
      <c r="U154" s="381"/>
      <c r="V154" s="381"/>
      <c r="W154" s="381"/>
      <c r="X154" s="381"/>
      <c r="Y154" s="232">
        <v>7500</v>
      </c>
      <c r="Z154" s="232"/>
      <c r="AA154" s="232"/>
      <c r="AB154" s="673">
        <f t="shared" si="72"/>
        <v>0</v>
      </c>
      <c r="AC154" s="673">
        <f t="shared" si="73"/>
        <v>7500</v>
      </c>
      <c r="AD154" s="718">
        <f t="shared" si="82"/>
        <v>7500</v>
      </c>
      <c r="AE154" s="718">
        <f t="shared" si="77"/>
        <v>17500</v>
      </c>
      <c r="AF154" s="475">
        <f t="shared" si="78"/>
        <v>22500</v>
      </c>
    </row>
    <row r="155" spans="1:32" x14ac:dyDescent="0.25">
      <c r="A155" s="582" t="s">
        <v>819</v>
      </c>
      <c r="B155" s="609"/>
      <c r="C155" s="207">
        <v>20000</v>
      </c>
      <c r="D155" s="998"/>
      <c r="E155" s="998"/>
      <c r="F155" s="998"/>
      <c r="G155" s="998"/>
      <c r="H155" s="998"/>
      <c r="I155" s="998"/>
      <c r="J155" s="998"/>
      <c r="K155" s="998"/>
      <c r="L155" s="151">
        <f t="shared" si="74"/>
        <v>20000</v>
      </c>
      <c r="M155" s="151">
        <f t="shared" si="79"/>
        <v>15000</v>
      </c>
      <c r="N155" s="151">
        <f t="shared" si="80"/>
        <v>1666.6666666666667</v>
      </c>
      <c r="O155" s="718">
        <f t="shared" si="81"/>
        <v>16666.666666666668</v>
      </c>
      <c r="P155" s="381"/>
      <c r="Q155" s="598"/>
      <c r="R155" s="381"/>
      <c r="S155" s="381"/>
      <c r="T155" s="381"/>
      <c r="U155" s="381"/>
      <c r="V155" s="381"/>
      <c r="W155" s="381"/>
      <c r="X155" s="381"/>
      <c r="Y155" s="598"/>
      <c r="Z155" s="598"/>
      <c r="AA155" s="598"/>
      <c r="AB155" s="673">
        <f t="shared" si="72"/>
        <v>0</v>
      </c>
      <c r="AC155" s="673">
        <f t="shared" si="73"/>
        <v>0</v>
      </c>
      <c r="AD155" s="718">
        <f t="shared" si="82"/>
        <v>0</v>
      </c>
      <c r="AE155" s="718">
        <f t="shared" si="77"/>
        <v>16666.666666666668</v>
      </c>
      <c r="AF155" s="475">
        <f t="shared" si="78"/>
        <v>20000</v>
      </c>
    </row>
    <row r="156" spans="1:32" x14ac:dyDescent="0.25">
      <c r="A156" s="603" t="s">
        <v>484</v>
      </c>
      <c r="B156" s="609" t="s">
        <v>600</v>
      </c>
      <c r="C156" s="207"/>
      <c r="D156" s="998"/>
      <c r="E156" s="998"/>
      <c r="F156" s="998"/>
      <c r="G156" s="998"/>
      <c r="H156" s="998"/>
      <c r="I156" s="998"/>
      <c r="J156" s="998"/>
      <c r="K156" s="998"/>
      <c r="L156" s="151">
        <f t="shared" si="74"/>
        <v>0</v>
      </c>
      <c r="M156" s="151">
        <f t="shared" si="79"/>
        <v>0</v>
      </c>
      <c r="N156" s="151">
        <f t="shared" si="80"/>
        <v>0</v>
      </c>
      <c r="O156" s="718">
        <f t="shared" si="81"/>
        <v>0</v>
      </c>
      <c r="P156" s="90"/>
      <c r="Q156" s="99"/>
      <c r="R156" s="673"/>
      <c r="S156" s="673"/>
      <c r="T156" s="673"/>
      <c r="U156" s="673"/>
      <c r="V156" s="673"/>
      <c r="W156" s="673"/>
      <c r="X156" s="673"/>
      <c r="Y156" s="99"/>
      <c r="Z156" s="99"/>
      <c r="AA156" s="99"/>
      <c r="AB156" s="673">
        <f t="shared" si="72"/>
        <v>0</v>
      </c>
      <c r="AC156" s="673">
        <f t="shared" si="73"/>
        <v>0</v>
      </c>
      <c r="AD156" s="718">
        <f t="shared" si="82"/>
        <v>0</v>
      </c>
      <c r="AE156" s="718">
        <f t="shared" si="77"/>
        <v>0</v>
      </c>
      <c r="AF156" s="475">
        <f t="shared" si="78"/>
        <v>0</v>
      </c>
    </row>
    <row r="157" spans="1:32" x14ac:dyDescent="0.25">
      <c r="A157" s="582" t="s">
        <v>820</v>
      </c>
      <c r="B157" s="609"/>
      <c r="C157" s="207">
        <v>10000</v>
      </c>
      <c r="D157" s="998"/>
      <c r="E157" s="998"/>
      <c r="F157" s="998"/>
      <c r="G157" s="998"/>
      <c r="H157" s="998"/>
      <c r="I157" s="998"/>
      <c r="J157" s="998"/>
      <c r="K157" s="998"/>
      <c r="L157" s="151">
        <f t="shared" si="74"/>
        <v>10000</v>
      </c>
      <c r="M157" s="151">
        <f t="shared" si="79"/>
        <v>7500</v>
      </c>
      <c r="N157" s="151">
        <f t="shared" si="80"/>
        <v>833.33333333333337</v>
      </c>
      <c r="O157" s="718">
        <f t="shared" si="81"/>
        <v>8333.3333333333339</v>
      </c>
      <c r="P157" s="90"/>
      <c r="Q157" s="99"/>
      <c r="R157" s="673"/>
      <c r="S157" s="673"/>
      <c r="T157" s="673"/>
      <c r="U157" s="673"/>
      <c r="V157" s="673"/>
      <c r="W157" s="673">
        <v>10000</v>
      </c>
      <c r="X157" s="673"/>
      <c r="Y157" s="99"/>
      <c r="Z157" s="99"/>
      <c r="AA157" s="99"/>
      <c r="AB157" s="673">
        <f t="shared" si="72"/>
        <v>10000</v>
      </c>
      <c r="AC157" s="673">
        <f t="shared" si="73"/>
        <v>0</v>
      </c>
      <c r="AD157" s="718">
        <f t="shared" si="82"/>
        <v>10000</v>
      </c>
      <c r="AE157" s="718">
        <f t="shared" si="77"/>
        <v>-1666.6666666666661</v>
      </c>
      <c r="AF157" s="475">
        <f t="shared" si="78"/>
        <v>0</v>
      </c>
    </row>
    <row r="158" spans="1:32" ht="30" customHeight="1" x14ac:dyDescent="0.25">
      <c r="A158" s="582" t="s">
        <v>821</v>
      </c>
      <c r="B158" s="609"/>
      <c r="C158" s="207">
        <v>5000</v>
      </c>
      <c r="D158" s="998"/>
      <c r="E158" s="998"/>
      <c r="F158" s="998"/>
      <c r="G158" s="998"/>
      <c r="H158" s="998"/>
      <c r="I158" s="998"/>
      <c r="J158" s="998"/>
      <c r="K158" s="998"/>
      <c r="L158" s="151">
        <f t="shared" si="74"/>
        <v>5000</v>
      </c>
      <c r="M158" s="151">
        <f t="shared" si="79"/>
        <v>3750</v>
      </c>
      <c r="N158" s="151">
        <f t="shared" si="80"/>
        <v>416.66666666666669</v>
      </c>
      <c r="O158" s="718">
        <f t="shared" si="81"/>
        <v>4166.666666666667</v>
      </c>
      <c r="P158" s="47"/>
      <c r="Q158" s="99"/>
      <c r="R158" s="673"/>
      <c r="S158" s="673"/>
      <c r="T158" s="673"/>
      <c r="U158" s="673"/>
      <c r="V158" s="673"/>
      <c r="W158" s="673"/>
      <c r="X158" s="673"/>
      <c r="Y158" s="99"/>
      <c r="Z158" s="99"/>
      <c r="AA158" s="99"/>
      <c r="AB158" s="673">
        <f t="shared" si="72"/>
        <v>0</v>
      </c>
      <c r="AC158" s="673">
        <f t="shared" si="73"/>
        <v>0</v>
      </c>
      <c r="AD158" s="718">
        <f t="shared" si="82"/>
        <v>0</v>
      </c>
      <c r="AE158" s="718">
        <f t="shared" si="77"/>
        <v>4166.666666666667</v>
      </c>
      <c r="AF158" s="475">
        <f t="shared" si="78"/>
        <v>5000</v>
      </c>
    </row>
    <row r="159" spans="1:32" x14ac:dyDescent="0.25">
      <c r="A159" s="603" t="s">
        <v>586</v>
      </c>
      <c r="B159" s="609" t="s">
        <v>93</v>
      </c>
      <c r="C159" s="207"/>
      <c r="D159" s="998"/>
      <c r="E159" s="998"/>
      <c r="F159" s="998"/>
      <c r="G159" s="998"/>
      <c r="H159" s="998"/>
      <c r="I159" s="998"/>
      <c r="J159" s="998"/>
      <c r="K159" s="998"/>
      <c r="L159" s="151">
        <f t="shared" si="74"/>
        <v>0</v>
      </c>
      <c r="M159" s="151">
        <f t="shared" si="79"/>
        <v>0</v>
      </c>
      <c r="N159" s="151">
        <f t="shared" si="80"/>
        <v>0</v>
      </c>
      <c r="O159" s="718">
        <f t="shared" si="81"/>
        <v>0</v>
      </c>
      <c r="P159" s="47"/>
      <c r="Q159" s="99"/>
      <c r="R159" s="673"/>
      <c r="S159" s="673"/>
      <c r="T159" s="673"/>
      <c r="U159" s="673"/>
      <c r="V159" s="673"/>
      <c r="W159" s="673"/>
      <c r="X159" s="673"/>
      <c r="Y159" s="99"/>
      <c r="Z159" s="99"/>
      <c r="AA159" s="99"/>
      <c r="AB159" s="673">
        <f t="shared" si="72"/>
        <v>0</v>
      </c>
      <c r="AC159" s="673">
        <f t="shared" si="73"/>
        <v>0</v>
      </c>
      <c r="AD159" s="718">
        <f t="shared" si="82"/>
        <v>0</v>
      </c>
      <c r="AE159" s="718">
        <f t="shared" si="77"/>
        <v>0</v>
      </c>
      <c r="AF159" s="475">
        <f t="shared" si="78"/>
        <v>0</v>
      </c>
    </row>
    <row r="160" spans="1:32" ht="27" x14ac:dyDescent="0.25">
      <c r="A160" s="605" t="s">
        <v>822</v>
      </c>
      <c r="B160" s="611"/>
      <c r="C160" s="207">
        <v>5000</v>
      </c>
      <c r="D160" s="998"/>
      <c r="E160" s="998"/>
      <c r="F160" s="998"/>
      <c r="G160" s="998"/>
      <c r="H160" s="998"/>
      <c r="I160" s="998"/>
      <c r="J160" s="998"/>
      <c r="K160" s="998"/>
      <c r="L160" s="151">
        <f t="shared" ref="L160:L176" si="83">SUM(C160:K160)</f>
        <v>5000</v>
      </c>
      <c r="M160" s="151">
        <f t="shared" si="79"/>
        <v>3750</v>
      </c>
      <c r="N160" s="151">
        <f t="shared" si="80"/>
        <v>416.66666666666669</v>
      </c>
      <c r="O160" s="718">
        <f t="shared" si="81"/>
        <v>4166.666666666667</v>
      </c>
      <c r="P160" s="90"/>
      <c r="Q160" s="99"/>
      <c r="R160" s="673"/>
      <c r="S160" s="673"/>
      <c r="T160" s="673"/>
      <c r="U160" s="673"/>
      <c r="V160" s="673"/>
      <c r="W160" s="673"/>
      <c r="X160" s="673"/>
      <c r="Y160" s="99"/>
      <c r="Z160" s="99"/>
      <c r="AA160" s="99"/>
      <c r="AB160" s="673">
        <f t="shared" si="72"/>
        <v>0</v>
      </c>
      <c r="AC160" s="673">
        <f t="shared" si="73"/>
        <v>0</v>
      </c>
      <c r="AD160" s="718">
        <f t="shared" si="82"/>
        <v>0</v>
      </c>
      <c r="AE160" s="718">
        <f t="shared" si="77"/>
        <v>4166.666666666667</v>
      </c>
      <c r="AF160" s="475">
        <f t="shared" si="78"/>
        <v>5000</v>
      </c>
    </row>
    <row r="161" spans="1:32" x14ac:dyDescent="0.25">
      <c r="A161" s="605" t="s">
        <v>823</v>
      </c>
      <c r="B161" s="609"/>
      <c r="C161" s="207">
        <v>5000</v>
      </c>
      <c r="D161" s="998"/>
      <c r="E161" s="998"/>
      <c r="F161" s="998"/>
      <c r="G161" s="998"/>
      <c r="H161" s="998"/>
      <c r="I161" s="998"/>
      <c r="J161" s="998"/>
      <c r="K161" s="998"/>
      <c r="L161" s="151">
        <f t="shared" si="83"/>
        <v>5000</v>
      </c>
      <c r="M161" s="151">
        <f t="shared" si="79"/>
        <v>3750</v>
      </c>
      <c r="N161" s="151">
        <f t="shared" si="80"/>
        <v>416.66666666666669</v>
      </c>
      <c r="O161" s="718">
        <f t="shared" si="81"/>
        <v>4166.666666666667</v>
      </c>
      <c r="P161" s="90"/>
      <c r="Q161" s="99"/>
      <c r="R161" s="673"/>
      <c r="S161" s="673"/>
      <c r="T161" s="673"/>
      <c r="U161" s="673"/>
      <c r="V161" s="673"/>
      <c r="W161" s="673"/>
      <c r="X161" s="673">
        <v>2100</v>
      </c>
      <c r="Y161" s="99"/>
      <c r="Z161" s="99"/>
      <c r="AA161" s="99"/>
      <c r="AB161" s="673">
        <f t="shared" si="72"/>
        <v>2100</v>
      </c>
      <c r="AC161" s="673">
        <f t="shared" si="73"/>
        <v>0</v>
      </c>
      <c r="AD161" s="718">
        <f t="shared" si="82"/>
        <v>2100</v>
      </c>
      <c r="AE161" s="718">
        <f t="shared" si="77"/>
        <v>2066.666666666667</v>
      </c>
      <c r="AF161" s="475">
        <f t="shared" si="78"/>
        <v>2900</v>
      </c>
    </row>
    <row r="162" spans="1:32" ht="31.5" customHeight="1" x14ac:dyDescent="0.25">
      <c r="A162" s="604" t="s">
        <v>824</v>
      </c>
      <c r="B162" s="612"/>
      <c r="C162" s="1236">
        <v>5000</v>
      </c>
      <c r="D162" s="1236"/>
      <c r="E162" s="1236"/>
      <c r="F162" s="1236"/>
      <c r="G162" s="1236"/>
      <c r="H162" s="1236"/>
      <c r="I162" s="998"/>
      <c r="J162" s="998"/>
      <c r="K162" s="998"/>
      <c r="L162" s="151">
        <f t="shared" si="83"/>
        <v>5000</v>
      </c>
      <c r="M162" s="151">
        <f t="shared" si="79"/>
        <v>3750</v>
      </c>
      <c r="N162" s="151">
        <f t="shared" si="80"/>
        <v>416.66666666666669</v>
      </c>
      <c r="O162" s="718">
        <f t="shared" si="81"/>
        <v>4166.666666666667</v>
      </c>
      <c r="P162" s="90"/>
      <c r="Q162" s="99"/>
      <c r="R162" s="673"/>
      <c r="S162" s="673"/>
      <c r="T162" s="673"/>
      <c r="U162" s="673"/>
      <c r="V162" s="673"/>
      <c r="W162" s="673"/>
      <c r="X162" s="673"/>
      <c r="Y162" s="99"/>
      <c r="Z162" s="99"/>
      <c r="AA162" s="99"/>
      <c r="AB162" s="673">
        <f t="shared" si="72"/>
        <v>0</v>
      </c>
      <c r="AC162" s="673">
        <f t="shared" si="73"/>
        <v>0</v>
      </c>
      <c r="AD162" s="718">
        <f t="shared" si="82"/>
        <v>0</v>
      </c>
      <c r="AE162" s="718">
        <f t="shared" si="77"/>
        <v>4166.666666666667</v>
      </c>
      <c r="AF162" s="475">
        <f t="shared" si="78"/>
        <v>5000</v>
      </c>
    </row>
    <row r="163" spans="1:32" x14ac:dyDescent="0.25">
      <c r="A163" s="606" t="s">
        <v>820</v>
      </c>
      <c r="B163" s="609"/>
      <c r="C163" s="1236">
        <v>5000</v>
      </c>
      <c r="D163" s="1236"/>
      <c r="E163" s="1236"/>
      <c r="F163" s="1236"/>
      <c r="G163" s="1236"/>
      <c r="H163" s="1236"/>
      <c r="I163" s="998"/>
      <c r="J163" s="998"/>
      <c r="K163" s="998"/>
      <c r="L163" s="151">
        <f t="shared" si="83"/>
        <v>5000</v>
      </c>
      <c r="M163" s="151">
        <f t="shared" si="79"/>
        <v>3750</v>
      </c>
      <c r="N163" s="151">
        <f t="shared" si="80"/>
        <v>416.66666666666669</v>
      </c>
      <c r="O163" s="718">
        <f t="shared" si="81"/>
        <v>4166.666666666667</v>
      </c>
      <c r="P163" s="90"/>
      <c r="Q163" s="99"/>
      <c r="R163" s="673"/>
      <c r="S163" s="673"/>
      <c r="T163" s="673"/>
      <c r="U163" s="673"/>
      <c r="V163" s="673"/>
      <c r="W163" s="673"/>
      <c r="X163" s="673"/>
      <c r="Y163" s="99"/>
      <c r="Z163" s="99"/>
      <c r="AA163" s="99"/>
      <c r="AB163" s="673">
        <f t="shared" si="72"/>
        <v>0</v>
      </c>
      <c r="AC163" s="673">
        <f t="shared" si="73"/>
        <v>0</v>
      </c>
      <c r="AD163" s="718">
        <f t="shared" si="82"/>
        <v>0</v>
      </c>
      <c r="AE163" s="718">
        <f t="shared" si="77"/>
        <v>4166.666666666667</v>
      </c>
      <c r="AF163" s="475">
        <f t="shared" si="78"/>
        <v>5000</v>
      </c>
    </row>
    <row r="164" spans="1:32" x14ac:dyDescent="0.25">
      <c r="A164" s="606" t="s">
        <v>825</v>
      </c>
      <c r="B164" s="609"/>
      <c r="C164" s="1236">
        <v>27000</v>
      </c>
      <c r="D164" s="1236"/>
      <c r="E164" s="1236"/>
      <c r="F164" s="1236"/>
      <c r="G164" s="1236"/>
      <c r="H164" s="1236"/>
      <c r="I164" s="998"/>
      <c r="J164" s="998">
        <f>-27000</f>
        <v>-27000</v>
      </c>
      <c r="K164" s="998"/>
      <c r="L164" s="151">
        <f t="shared" si="83"/>
        <v>0</v>
      </c>
      <c r="M164" s="151">
        <f t="shared" si="79"/>
        <v>0</v>
      </c>
      <c r="N164" s="151">
        <f t="shared" si="80"/>
        <v>0</v>
      </c>
      <c r="O164" s="718">
        <f t="shared" si="81"/>
        <v>0</v>
      </c>
      <c r="P164" s="90"/>
      <c r="Q164" s="99"/>
      <c r="R164" s="673"/>
      <c r="S164" s="673"/>
      <c r="T164" s="673"/>
      <c r="U164" s="673"/>
      <c r="V164" s="673"/>
      <c r="W164" s="673"/>
      <c r="X164" s="673"/>
      <c r="Y164" s="99"/>
      <c r="Z164" s="99"/>
      <c r="AA164" s="99"/>
      <c r="AB164" s="673">
        <f t="shared" si="72"/>
        <v>0</v>
      </c>
      <c r="AC164" s="673">
        <f t="shared" si="73"/>
        <v>0</v>
      </c>
      <c r="AD164" s="718">
        <f t="shared" si="82"/>
        <v>0</v>
      </c>
      <c r="AE164" s="718">
        <f t="shared" si="77"/>
        <v>0</v>
      </c>
      <c r="AF164" s="475">
        <f t="shared" si="78"/>
        <v>0</v>
      </c>
    </row>
    <row r="165" spans="1:32" x14ac:dyDescent="0.25">
      <c r="A165" s="603" t="s">
        <v>816</v>
      </c>
      <c r="B165" s="609" t="s">
        <v>279</v>
      </c>
      <c r="C165" s="1236"/>
      <c r="D165" s="1236"/>
      <c r="E165" s="1236"/>
      <c r="F165" s="1236"/>
      <c r="G165" s="1236"/>
      <c r="H165" s="1236"/>
      <c r="I165" s="998"/>
      <c r="J165" s="998"/>
      <c r="K165" s="998"/>
      <c r="L165" s="151">
        <f t="shared" si="83"/>
        <v>0</v>
      </c>
      <c r="M165" s="151">
        <f t="shared" si="79"/>
        <v>0</v>
      </c>
      <c r="N165" s="151">
        <f t="shared" si="80"/>
        <v>0</v>
      </c>
      <c r="O165" s="718">
        <f t="shared" si="81"/>
        <v>0</v>
      </c>
      <c r="P165" s="90"/>
      <c r="Q165" s="99"/>
      <c r="R165" s="673"/>
      <c r="S165" s="673"/>
      <c r="T165" s="673"/>
      <c r="U165" s="673"/>
      <c r="V165" s="673"/>
      <c r="W165" s="673"/>
      <c r="X165" s="673"/>
      <c r="Y165" s="99"/>
      <c r="Z165" s="99"/>
      <c r="AA165" s="99"/>
      <c r="AB165" s="673">
        <f t="shared" si="72"/>
        <v>0</v>
      </c>
      <c r="AC165" s="673">
        <f t="shared" si="73"/>
        <v>0</v>
      </c>
      <c r="AD165" s="718">
        <f t="shared" si="82"/>
        <v>0</v>
      </c>
      <c r="AE165" s="718">
        <f t="shared" si="77"/>
        <v>0</v>
      </c>
      <c r="AF165" s="475">
        <f t="shared" si="78"/>
        <v>0</v>
      </c>
    </row>
    <row r="166" spans="1:32" x14ac:dyDescent="0.25">
      <c r="A166" s="429" t="s">
        <v>826</v>
      </c>
      <c r="B166" s="47"/>
      <c r="C166" s="1236">
        <v>30000</v>
      </c>
      <c r="D166" s="1236"/>
      <c r="E166" s="1236"/>
      <c r="F166" s="1236"/>
      <c r="G166" s="1236"/>
      <c r="H166" s="1236"/>
      <c r="I166" s="998"/>
      <c r="J166" s="998"/>
      <c r="K166" s="998"/>
      <c r="L166" s="151">
        <f t="shared" si="83"/>
        <v>30000</v>
      </c>
      <c r="M166" s="151">
        <f t="shared" si="79"/>
        <v>22500</v>
      </c>
      <c r="N166" s="151">
        <f t="shared" si="80"/>
        <v>2500</v>
      </c>
      <c r="O166" s="718">
        <f t="shared" si="81"/>
        <v>25000</v>
      </c>
      <c r="P166" s="90"/>
      <c r="Q166" s="99"/>
      <c r="R166" s="673">
        <v>29950</v>
      </c>
      <c r="S166" s="673"/>
      <c r="T166" s="673"/>
      <c r="U166" s="673"/>
      <c r="V166" s="673"/>
      <c r="W166" s="673"/>
      <c r="X166" s="673"/>
      <c r="Y166" s="99"/>
      <c r="Z166" s="99"/>
      <c r="AA166" s="99"/>
      <c r="AB166" s="673">
        <f t="shared" si="72"/>
        <v>29950</v>
      </c>
      <c r="AC166" s="673">
        <f t="shared" si="73"/>
        <v>0</v>
      </c>
      <c r="AD166" s="718">
        <f t="shared" si="82"/>
        <v>29950</v>
      </c>
      <c r="AE166" s="718">
        <f t="shared" si="77"/>
        <v>-4950</v>
      </c>
      <c r="AF166" s="475">
        <f t="shared" si="78"/>
        <v>50</v>
      </c>
    </row>
    <row r="167" spans="1:32" x14ac:dyDescent="0.25">
      <c r="A167" s="603" t="s">
        <v>50</v>
      </c>
      <c r="B167" s="609" t="s">
        <v>51</v>
      </c>
      <c r="C167" s="1236"/>
      <c r="D167" s="1236"/>
      <c r="E167" s="1236"/>
      <c r="F167" s="1236"/>
      <c r="G167" s="1236"/>
      <c r="H167" s="1236"/>
      <c r="I167" s="998"/>
      <c r="J167" s="998"/>
      <c r="K167" s="998"/>
      <c r="L167" s="151">
        <f t="shared" si="83"/>
        <v>0</v>
      </c>
      <c r="M167" s="151">
        <f t="shared" si="79"/>
        <v>0</v>
      </c>
      <c r="N167" s="151">
        <f t="shared" si="80"/>
        <v>0</v>
      </c>
      <c r="O167" s="718">
        <f t="shared" si="81"/>
        <v>0</v>
      </c>
      <c r="P167" s="90"/>
      <c r="Q167" s="99"/>
      <c r="R167" s="673"/>
      <c r="S167" s="673"/>
      <c r="T167" s="673"/>
      <c r="U167" s="673"/>
      <c r="V167" s="673"/>
      <c r="W167" s="673"/>
      <c r="X167" s="673"/>
      <c r="Y167" s="99"/>
      <c r="Z167" s="99"/>
      <c r="AA167" s="99"/>
      <c r="AB167" s="673">
        <f t="shared" si="72"/>
        <v>0</v>
      </c>
      <c r="AC167" s="673">
        <f t="shared" si="73"/>
        <v>0</v>
      </c>
      <c r="AD167" s="718">
        <f t="shared" si="82"/>
        <v>0</v>
      </c>
      <c r="AE167" s="718">
        <f t="shared" si="77"/>
        <v>0</v>
      </c>
      <c r="AF167" s="475">
        <f t="shared" si="78"/>
        <v>0</v>
      </c>
    </row>
    <row r="168" spans="1:32" x14ac:dyDescent="0.25">
      <c r="A168" s="582" t="s">
        <v>827</v>
      </c>
      <c r="B168" s="609"/>
      <c r="C168" s="1237">
        <v>4600</v>
      </c>
      <c r="D168" s="1237"/>
      <c r="E168" s="1237"/>
      <c r="F168" s="1237"/>
      <c r="G168" s="1237"/>
      <c r="H168" s="1237"/>
      <c r="I168" s="165"/>
      <c r="J168" s="165"/>
      <c r="K168" s="165"/>
      <c r="L168" s="151">
        <f t="shared" si="83"/>
        <v>4600</v>
      </c>
      <c r="M168" s="151">
        <f t="shared" si="79"/>
        <v>3450</v>
      </c>
      <c r="N168" s="151">
        <f t="shared" si="80"/>
        <v>383.33333333333331</v>
      </c>
      <c r="O168" s="718">
        <f t="shared" si="81"/>
        <v>3833.3333333333335</v>
      </c>
      <c r="P168" s="90"/>
      <c r="Q168" s="99"/>
      <c r="R168" s="673"/>
      <c r="S168" s="673"/>
      <c r="T168" s="673"/>
      <c r="U168" s="673"/>
      <c r="V168" s="673"/>
      <c r="W168" s="673"/>
      <c r="X168" s="673"/>
      <c r="Y168" s="99"/>
      <c r="Z168" s="99"/>
      <c r="AA168" s="99"/>
      <c r="AB168" s="673">
        <f t="shared" si="72"/>
        <v>0</v>
      </c>
      <c r="AC168" s="673">
        <f t="shared" si="73"/>
        <v>0</v>
      </c>
      <c r="AD168" s="718">
        <f t="shared" si="82"/>
        <v>0</v>
      </c>
      <c r="AE168" s="718">
        <f t="shared" si="77"/>
        <v>3833.3333333333335</v>
      </c>
      <c r="AF168" s="475">
        <f t="shared" si="78"/>
        <v>4600</v>
      </c>
    </row>
    <row r="169" spans="1:32" x14ac:dyDescent="0.25">
      <c r="A169" s="582" t="s">
        <v>828</v>
      </c>
      <c r="B169" s="609"/>
      <c r="C169" s="1236">
        <v>5000</v>
      </c>
      <c r="D169" s="1236"/>
      <c r="E169" s="1236"/>
      <c r="F169" s="1236"/>
      <c r="G169" s="1236"/>
      <c r="H169" s="1236"/>
      <c r="I169" s="998"/>
      <c r="J169" s="998"/>
      <c r="K169" s="998"/>
      <c r="L169" s="151">
        <f t="shared" si="83"/>
        <v>5000</v>
      </c>
      <c r="M169" s="151">
        <f t="shared" si="79"/>
        <v>3750</v>
      </c>
      <c r="N169" s="151">
        <f t="shared" si="80"/>
        <v>416.66666666666669</v>
      </c>
      <c r="O169" s="718">
        <f t="shared" si="81"/>
        <v>4166.666666666667</v>
      </c>
      <c r="P169" s="90"/>
      <c r="Q169" s="99"/>
      <c r="R169" s="673"/>
      <c r="S169" s="673"/>
      <c r="T169" s="673"/>
      <c r="U169" s="673"/>
      <c r="V169" s="673"/>
      <c r="W169" s="673"/>
      <c r="X169" s="673"/>
      <c r="Y169" s="99"/>
      <c r="Z169" s="99"/>
      <c r="AA169" s="99"/>
      <c r="AB169" s="673">
        <f t="shared" si="72"/>
        <v>0</v>
      </c>
      <c r="AC169" s="673">
        <f t="shared" si="73"/>
        <v>0</v>
      </c>
      <c r="AD169" s="718">
        <f t="shared" si="82"/>
        <v>0</v>
      </c>
      <c r="AE169" s="718">
        <f t="shared" si="77"/>
        <v>4166.666666666667</v>
      </c>
      <c r="AF169" s="475">
        <f t="shared" si="78"/>
        <v>5000</v>
      </c>
    </row>
    <row r="170" spans="1:32" x14ac:dyDescent="0.25">
      <c r="A170" s="607" t="s">
        <v>253</v>
      </c>
      <c r="B170" s="613" t="s">
        <v>93</v>
      </c>
      <c r="C170" s="207"/>
      <c r="D170" s="998"/>
      <c r="E170" s="998"/>
      <c r="F170" s="998"/>
      <c r="G170" s="998"/>
      <c r="H170" s="998"/>
      <c r="I170" s="998"/>
      <c r="J170" s="998"/>
      <c r="K170" s="998"/>
      <c r="L170" s="151">
        <f t="shared" si="83"/>
        <v>0</v>
      </c>
      <c r="M170" s="151">
        <f t="shared" si="79"/>
        <v>0</v>
      </c>
      <c r="N170" s="151">
        <f t="shared" si="80"/>
        <v>0</v>
      </c>
      <c r="O170" s="718">
        <f t="shared" si="81"/>
        <v>0</v>
      </c>
      <c r="P170" s="90"/>
      <c r="Q170" s="99"/>
      <c r="R170" s="673"/>
      <c r="S170" s="673"/>
      <c r="T170" s="673"/>
      <c r="U170" s="673"/>
      <c r="V170" s="673"/>
      <c r="W170" s="673"/>
      <c r="X170" s="673"/>
      <c r="Y170" s="99"/>
      <c r="Z170" s="99"/>
      <c r="AA170" s="99"/>
      <c r="AB170" s="673">
        <f t="shared" si="72"/>
        <v>0</v>
      </c>
      <c r="AC170" s="673">
        <f t="shared" si="73"/>
        <v>0</v>
      </c>
      <c r="AD170" s="718">
        <f t="shared" si="82"/>
        <v>0</v>
      </c>
      <c r="AE170" s="718">
        <f t="shared" si="77"/>
        <v>0</v>
      </c>
      <c r="AF170" s="475">
        <f t="shared" si="78"/>
        <v>0</v>
      </c>
    </row>
    <row r="171" spans="1:32" x14ac:dyDescent="0.25">
      <c r="A171" s="582" t="s">
        <v>829</v>
      </c>
      <c r="B171" s="609"/>
      <c r="C171" s="165">
        <v>1600</v>
      </c>
      <c r="D171" s="165"/>
      <c r="E171" s="165"/>
      <c r="F171" s="165"/>
      <c r="G171" s="165"/>
      <c r="H171" s="165"/>
      <c r="I171" s="165"/>
      <c r="J171" s="165"/>
      <c r="K171" s="165"/>
      <c r="L171" s="151">
        <f t="shared" si="83"/>
        <v>1600</v>
      </c>
      <c r="M171" s="151">
        <f t="shared" si="79"/>
        <v>1200</v>
      </c>
      <c r="N171" s="151">
        <f t="shared" si="80"/>
        <v>133.33333333333334</v>
      </c>
      <c r="O171" s="718">
        <f t="shared" si="81"/>
        <v>1333.3333333333333</v>
      </c>
      <c r="P171" s="90"/>
      <c r="Q171" s="99"/>
      <c r="R171" s="673"/>
      <c r="S171" s="673"/>
      <c r="T171" s="673"/>
      <c r="U171" s="673"/>
      <c r="V171" s="673"/>
      <c r="W171" s="673"/>
      <c r="X171" s="673"/>
      <c r="Y171" s="99"/>
      <c r="Z171" s="99"/>
      <c r="AA171" s="99"/>
      <c r="AB171" s="673">
        <f t="shared" si="72"/>
        <v>0</v>
      </c>
      <c r="AC171" s="673">
        <f t="shared" si="73"/>
        <v>0</v>
      </c>
      <c r="AD171" s="718">
        <f t="shared" si="82"/>
        <v>0</v>
      </c>
      <c r="AE171" s="718">
        <f t="shared" si="77"/>
        <v>1333.3333333333333</v>
      </c>
      <c r="AF171" s="475">
        <f t="shared" si="78"/>
        <v>1600</v>
      </c>
    </row>
    <row r="172" spans="1:32" x14ac:dyDescent="0.25">
      <c r="A172" s="582" t="s">
        <v>828</v>
      </c>
      <c r="B172" s="609"/>
      <c r="C172" s="207">
        <v>5000</v>
      </c>
      <c r="D172" s="998"/>
      <c r="E172" s="998"/>
      <c r="F172" s="998"/>
      <c r="G172" s="998"/>
      <c r="H172" s="998"/>
      <c r="I172" s="998"/>
      <c r="J172" s="998"/>
      <c r="K172" s="998"/>
      <c r="L172" s="151">
        <f t="shared" si="83"/>
        <v>5000</v>
      </c>
      <c r="M172" s="151">
        <f t="shared" si="79"/>
        <v>3750</v>
      </c>
      <c r="N172" s="151">
        <f t="shared" si="80"/>
        <v>416.66666666666669</v>
      </c>
      <c r="O172" s="718">
        <f t="shared" si="81"/>
        <v>4166.666666666667</v>
      </c>
      <c r="P172" s="90"/>
      <c r="Q172" s="99"/>
      <c r="R172" s="673"/>
      <c r="S172" s="673"/>
      <c r="T172" s="673"/>
      <c r="U172" s="673"/>
      <c r="V172" s="673"/>
      <c r="W172" s="673">
        <v>4900</v>
      </c>
      <c r="X172" s="673"/>
      <c r="Y172" s="99"/>
      <c r="Z172" s="99"/>
      <c r="AA172" s="99"/>
      <c r="AB172" s="673">
        <f t="shared" si="72"/>
        <v>4900</v>
      </c>
      <c r="AC172" s="673">
        <f t="shared" si="73"/>
        <v>0</v>
      </c>
      <c r="AD172" s="718">
        <f t="shared" si="82"/>
        <v>4900</v>
      </c>
      <c r="AE172" s="718">
        <f t="shared" si="77"/>
        <v>-733.33333333333303</v>
      </c>
      <c r="AF172" s="475">
        <f t="shared" si="78"/>
        <v>100</v>
      </c>
    </row>
    <row r="173" spans="1:32" x14ac:dyDescent="0.25">
      <c r="A173" s="608" t="s">
        <v>830</v>
      </c>
      <c r="B173" s="609"/>
      <c r="C173" s="207"/>
      <c r="D173" s="998"/>
      <c r="E173" s="998"/>
      <c r="F173" s="998"/>
      <c r="G173" s="998"/>
      <c r="H173" s="998"/>
      <c r="I173" s="998"/>
      <c r="J173" s="998"/>
      <c r="K173" s="998"/>
      <c r="L173" s="151">
        <f t="shared" si="83"/>
        <v>0</v>
      </c>
      <c r="M173" s="151">
        <f t="shared" si="79"/>
        <v>0</v>
      </c>
      <c r="N173" s="151">
        <f t="shared" si="80"/>
        <v>0</v>
      </c>
      <c r="O173" s="718">
        <f t="shared" si="81"/>
        <v>0</v>
      </c>
      <c r="P173" s="90"/>
      <c r="Q173" s="99"/>
      <c r="R173" s="673"/>
      <c r="S173" s="673"/>
      <c r="T173" s="673"/>
      <c r="U173" s="673"/>
      <c r="V173" s="673"/>
      <c r="W173" s="673"/>
      <c r="X173" s="673"/>
      <c r="Y173" s="99"/>
      <c r="Z173" s="99"/>
      <c r="AA173" s="99"/>
      <c r="AB173" s="673">
        <f t="shared" si="72"/>
        <v>0</v>
      </c>
      <c r="AC173" s="673">
        <f t="shared" si="73"/>
        <v>0</v>
      </c>
      <c r="AD173" s="718">
        <f t="shared" si="82"/>
        <v>0</v>
      </c>
      <c r="AE173" s="718">
        <f t="shared" si="77"/>
        <v>0</v>
      </c>
      <c r="AF173" s="475">
        <f t="shared" si="78"/>
        <v>0</v>
      </c>
    </row>
    <row r="174" spans="1:32" x14ac:dyDescent="0.25">
      <c r="A174" s="603" t="s">
        <v>274</v>
      </c>
      <c r="B174" s="609" t="s">
        <v>104</v>
      </c>
      <c r="C174" s="207"/>
      <c r="D174" s="998"/>
      <c r="E174" s="998"/>
      <c r="F174" s="998"/>
      <c r="G174" s="998"/>
      <c r="H174" s="998"/>
      <c r="I174" s="998"/>
      <c r="J174" s="998"/>
      <c r="K174" s="998"/>
      <c r="L174" s="151">
        <f t="shared" si="83"/>
        <v>0</v>
      </c>
      <c r="M174" s="151">
        <f t="shared" si="79"/>
        <v>0</v>
      </c>
      <c r="N174" s="151">
        <f t="shared" si="80"/>
        <v>0</v>
      </c>
      <c r="O174" s="718">
        <f t="shared" si="81"/>
        <v>0</v>
      </c>
      <c r="P174" s="90"/>
      <c r="Q174" s="99"/>
      <c r="R174" s="673"/>
      <c r="S174" s="673"/>
      <c r="T174" s="673"/>
      <c r="U174" s="673"/>
      <c r="V174" s="673"/>
      <c r="W174" s="673"/>
      <c r="X174" s="673"/>
      <c r="Y174" s="99"/>
      <c r="Z174" s="99"/>
      <c r="AA174" s="99"/>
      <c r="AB174" s="673">
        <f t="shared" si="72"/>
        <v>0</v>
      </c>
      <c r="AC174" s="673">
        <f t="shared" si="73"/>
        <v>0</v>
      </c>
      <c r="AD174" s="718">
        <f t="shared" si="82"/>
        <v>0</v>
      </c>
      <c r="AE174" s="718">
        <f t="shared" si="77"/>
        <v>0</v>
      </c>
      <c r="AF174" s="475">
        <f t="shared" si="78"/>
        <v>0</v>
      </c>
    </row>
    <row r="175" spans="1:32" x14ac:dyDescent="0.25">
      <c r="A175" s="582" t="s">
        <v>831</v>
      </c>
      <c r="B175" s="609"/>
      <c r="C175" s="207">
        <v>466560</v>
      </c>
      <c r="D175" s="998"/>
      <c r="E175" s="998"/>
      <c r="F175" s="998"/>
      <c r="G175" s="998">
        <f>-233380</f>
        <v>-233380</v>
      </c>
      <c r="H175" s="998"/>
      <c r="I175" s="998"/>
      <c r="J175" s="998"/>
      <c r="K175" s="998"/>
      <c r="L175" s="151">
        <f t="shared" si="83"/>
        <v>233180</v>
      </c>
      <c r="M175" s="151">
        <f t="shared" si="79"/>
        <v>174885</v>
      </c>
      <c r="N175" s="151">
        <f t="shared" si="80"/>
        <v>19431.666666666668</v>
      </c>
      <c r="O175" s="718">
        <f t="shared" si="81"/>
        <v>194316.66666666666</v>
      </c>
      <c r="P175" s="90"/>
      <c r="Q175" s="99"/>
      <c r="R175" s="673"/>
      <c r="S175" s="673"/>
      <c r="T175" s="673"/>
      <c r="U175" s="673"/>
      <c r="V175" s="673"/>
      <c r="W175" s="673"/>
      <c r="X175" s="673">
        <v>37800</v>
      </c>
      <c r="Y175" s="99"/>
      <c r="Z175" s="99"/>
      <c r="AA175" s="99"/>
      <c r="AB175" s="673">
        <f t="shared" si="72"/>
        <v>37800</v>
      </c>
      <c r="AC175" s="673">
        <f t="shared" si="73"/>
        <v>0</v>
      </c>
      <c r="AD175" s="718">
        <f t="shared" si="82"/>
        <v>37800</v>
      </c>
      <c r="AE175" s="718">
        <f t="shared" si="77"/>
        <v>156516.66666666666</v>
      </c>
      <c r="AF175" s="475">
        <f t="shared" si="78"/>
        <v>195380</v>
      </c>
    </row>
    <row r="176" spans="1:32" x14ac:dyDescent="0.25">
      <c r="A176" s="213"/>
      <c r="B176" s="214"/>
      <c r="C176" s="151"/>
      <c r="D176" s="151"/>
      <c r="E176" s="151"/>
      <c r="F176" s="151"/>
      <c r="G176" s="151"/>
      <c r="H176" s="151"/>
      <c r="I176" s="151"/>
      <c r="J176" s="151"/>
      <c r="K176" s="151"/>
      <c r="L176" s="151">
        <f t="shared" si="83"/>
        <v>0</v>
      </c>
      <c r="M176" s="151">
        <f t="shared" si="79"/>
        <v>0</v>
      </c>
      <c r="N176" s="151">
        <f t="shared" si="80"/>
        <v>0</v>
      </c>
      <c r="O176" s="718">
        <f t="shared" si="81"/>
        <v>0</v>
      </c>
      <c r="P176" s="90"/>
      <c r="Q176" s="99"/>
      <c r="R176" s="673"/>
      <c r="S176" s="673"/>
      <c r="T176" s="673"/>
      <c r="U176" s="673"/>
      <c r="V176" s="673"/>
      <c r="W176" s="673"/>
      <c r="X176" s="673"/>
      <c r="Y176" s="99"/>
      <c r="Z176" s="99"/>
      <c r="AA176" s="99"/>
      <c r="AB176" s="673">
        <f t="shared" si="72"/>
        <v>0</v>
      </c>
      <c r="AC176" s="673">
        <f t="shared" si="73"/>
        <v>0</v>
      </c>
      <c r="AD176" s="718">
        <f t="shared" si="82"/>
        <v>0</v>
      </c>
      <c r="AE176" s="718">
        <f t="shared" si="77"/>
        <v>0</v>
      </c>
      <c r="AF176" s="475">
        <f t="shared" si="78"/>
        <v>0</v>
      </c>
    </row>
    <row r="177" spans="1:32" x14ac:dyDescent="0.25">
      <c r="A177" s="218" t="s">
        <v>108</v>
      </c>
      <c r="B177" s="219"/>
      <c r="C177" s="578">
        <f>SUM(C126:C175)</f>
        <v>2588560</v>
      </c>
      <c r="D177" s="578"/>
      <c r="E177" s="578"/>
      <c r="F177" s="578"/>
      <c r="G177" s="578">
        <f>SUM(G126:G175)</f>
        <v>-233380</v>
      </c>
      <c r="H177" s="578">
        <f>SUM(H126:H175)</f>
        <v>0</v>
      </c>
      <c r="I177" s="578">
        <f t="shared" ref="I177:AF177" si="84">SUM(I126:I175)</f>
        <v>0</v>
      </c>
      <c r="J177" s="578">
        <f t="shared" ref="J177" si="85">SUM(J126:J175)</f>
        <v>-27000</v>
      </c>
      <c r="K177" s="578">
        <f t="shared" si="84"/>
        <v>340000</v>
      </c>
      <c r="L177" s="578">
        <f t="shared" si="84"/>
        <v>2668180</v>
      </c>
      <c r="M177" s="578">
        <f t="shared" si="84"/>
        <v>2001135</v>
      </c>
      <c r="N177" s="578">
        <f t="shared" si="84"/>
        <v>222348.33333333328</v>
      </c>
      <c r="O177" s="578">
        <f t="shared" si="84"/>
        <v>2223483.3333333335</v>
      </c>
      <c r="P177" s="578">
        <f t="shared" si="84"/>
        <v>0</v>
      </c>
      <c r="Q177" s="578">
        <f t="shared" si="84"/>
        <v>0</v>
      </c>
      <c r="R177" s="578">
        <f t="shared" si="84"/>
        <v>473006</v>
      </c>
      <c r="S177" s="578">
        <f t="shared" si="84"/>
        <v>10000</v>
      </c>
      <c r="T177" s="578">
        <f t="shared" si="84"/>
        <v>5200</v>
      </c>
      <c r="U177" s="579">
        <f>SUM(U126:U175)</f>
        <v>97980</v>
      </c>
      <c r="V177" s="579">
        <f t="shared" si="84"/>
        <v>307500</v>
      </c>
      <c r="W177" s="579">
        <f t="shared" si="84"/>
        <v>24880</v>
      </c>
      <c r="X177" s="579">
        <f t="shared" si="84"/>
        <v>444600</v>
      </c>
      <c r="Y177" s="578">
        <f t="shared" si="84"/>
        <v>7500</v>
      </c>
      <c r="Z177" s="578">
        <f t="shared" si="84"/>
        <v>0</v>
      </c>
      <c r="AA177" s="578">
        <f t="shared" si="84"/>
        <v>0</v>
      </c>
      <c r="AB177" s="578">
        <f t="shared" si="84"/>
        <v>1363166</v>
      </c>
      <c r="AC177" s="578">
        <f t="shared" si="84"/>
        <v>7500</v>
      </c>
      <c r="AD177" s="578">
        <f t="shared" si="84"/>
        <v>1370666</v>
      </c>
      <c r="AE177" s="578">
        <f t="shared" si="84"/>
        <v>852817.33333333314</v>
      </c>
      <c r="AF177" s="578">
        <f t="shared" si="84"/>
        <v>1297514</v>
      </c>
    </row>
    <row r="178" spans="1:32" ht="15.75" thickBot="1" x14ac:dyDescent="0.3">
      <c r="A178" s="220" t="s">
        <v>160</v>
      </c>
      <c r="B178" s="221"/>
      <c r="C178" s="221">
        <f>C177</f>
        <v>2588560</v>
      </c>
      <c r="D178" s="221"/>
      <c r="E178" s="221"/>
      <c r="F178" s="221"/>
      <c r="G178" s="221">
        <f>G177</f>
        <v>-233380</v>
      </c>
      <c r="H178" s="221">
        <f>H177</f>
        <v>0</v>
      </c>
      <c r="I178" s="221">
        <f t="shared" ref="I178:AF178" si="86">I177</f>
        <v>0</v>
      </c>
      <c r="J178" s="221">
        <f t="shared" ref="J178" si="87">J177</f>
        <v>-27000</v>
      </c>
      <c r="K178" s="221">
        <f t="shared" si="86"/>
        <v>340000</v>
      </c>
      <c r="L178" s="221">
        <f t="shared" si="86"/>
        <v>2668180</v>
      </c>
      <c r="M178" s="221">
        <f t="shared" si="86"/>
        <v>2001135</v>
      </c>
      <c r="N178" s="221">
        <f t="shared" si="86"/>
        <v>222348.33333333328</v>
      </c>
      <c r="O178" s="221">
        <f t="shared" si="86"/>
        <v>2223483.3333333335</v>
      </c>
      <c r="P178" s="221">
        <f t="shared" si="86"/>
        <v>0</v>
      </c>
      <c r="Q178" s="221">
        <f t="shared" si="86"/>
        <v>0</v>
      </c>
      <c r="R178" s="221">
        <f t="shared" si="86"/>
        <v>473006</v>
      </c>
      <c r="S178" s="221">
        <f t="shared" si="86"/>
        <v>10000</v>
      </c>
      <c r="T178" s="221">
        <f t="shared" si="86"/>
        <v>5200</v>
      </c>
      <c r="U178" s="1191">
        <f>U177</f>
        <v>97980</v>
      </c>
      <c r="V178" s="1191">
        <f t="shared" si="86"/>
        <v>307500</v>
      </c>
      <c r="W178" s="1191">
        <f t="shared" si="86"/>
        <v>24880</v>
      </c>
      <c r="X178" s="1191">
        <f t="shared" si="86"/>
        <v>444600</v>
      </c>
      <c r="Y178" s="221">
        <f t="shared" si="86"/>
        <v>7500</v>
      </c>
      <c r="Z178" s="221">
        <f t="shared" si="86"/>
        <v>0</v>
      </c>
      <c r="AA178" s="221">
        <f t="shared" si="86"/>
        <v>0</v>
      </c>
      <c r="AB178" s="221">
        <f t="shared" si="86"/>
        <v>1363166</v>
      </c>
      <c r="AC178" s="221">
        <f t="shared" si="86"/>
        <v>7500</v>
      </c>
      <c r="AD178" s="221">
        <f t="shared" si="86"/>
        <v>1370666</v>
      </c>
      <c r="AE178" s="221">
        <f t="shared" si="86"/>
        <v>852817.33333333314</v>
      </c>
      <c r="AF178" s="221">
        <f t="shared" si="86"/>
        <v>1297514</v>
      </c>
    </row>
    <row r="179" spans="1:32" ht="15.75" thickTop="1" x14ac:dyDescent="0.25"/>
    <row r="181" spans="1:32" x14ac:dyDescent="0.25">
      <c r="A181" s="29" t="s">
        <v>354</v>
      </c>
      <c r="B181" s="488"/>
      <c r="C181" s="489"/>
      <c r="D181" s="489"/>
      <c r="E181" s="489"/>
      <c r="F181" s="489"/>
      <c r="G181" s="489"/>
      <c r="H181" s="489"/>
      <c r="I181" s="489"/>
      <c r="J181" s="489"/>
      <c r="K181" s="489"/>
      <c r="L181" s="489"/>
      <c r="M181" s="489"/>
      <c r="N181" s="489"/>
      <c r="AE181" s="490" t="s">
        <v>357</v>
      </c>
    </row>
    <row r="182" spans="1:32" x14ac:dyDescent="0.25">
      <c r="B182" s="491"/>
      <c r="C182" s="492"/>
      <c r="D182" s="492"/>
      <c r="E182" s="492"/>
      <c r="F182" s="492"/>
      <c r="G182" s="492"/>
      <c r="H182" s="492"/>
      <c r="I182" s="492"/>
      <c r="J182" s="492"/>
      <c r="K182" s="492"/>
      <c r="L182" s="492"/>
      <c r="M182" s="492"/>
      <c r="N182" s="492"/>
    </row>
    <row r="183" spans="1:32" x14ac:dyDescent="0.25">
      <c r="B183" s="491"/>
      <c r="C183" s="492"/>
      <c r="D183" s="492"/>
      <c r="E183" s="492"/>
      <c r="F183" s="492"/>
      <c r="G183" s="492"/>
      <c r="H183" s="492"/>
      <c r="I183" s="492"/>
      <c r="J183" s="492"/>
      <c r="K183" s="492"/>
      <c r="L183" s="492"/>
      <c r="M183" s="492"/>
      <c r="N183" s="492"/>
      <c r="P183" s="708"/>
      <c r="AB183" s="708"/>
    </row>
    <row r="184" spans="1:32" x14ac:dyDescent="0.25">
      <c r="B184" s="491"/>
      <c r="C184" s="492"/>
      <c r="D184" s="492"/>
      <c r="E184" s="492"/>
      <c r="F184" s="492"/>
      <c r="G184" s="492"/>
      <c r="H184" s="492"/>
      <c r="I184" s="492"/>
      <c r="J184" s="492"/>
      <c r="K184" s="492"/>
      <c r="L184" s="492"/>
      <c r="M184" s="492"/>
      <c r="N184" s="492"/>
      <c r="P184" s="708"/>
      <c r="AB184" s="708"/>
    </row>
    <row r="186" spans="1:32" x14ac:dyDescent="0.25">
      <c r="A186" s="493" t="s">
        <v>355</v>
      </c>
      <c r="B186" s="494"/>
      <c r="C186" s="495"/>
      <c r="D186" s="495"/>
      <c r="E186" s="495"/>
      <c r="F186" s="495"/>
      <c r="G186" s="495"/>
      <c r="H186" s="495"/>
      <c r="I186" s="495"/>
      <c r="J186" s="495"/>
      <c r="K186" s="495"/>
      <c r="L186" s="495"/>
      <c r="M186" s="495"/>
      <c r="N186" s="495"/>
      <c r="AE186" s="496" t="s">
        <v>358</v>
      </c>
    </row>
    <row r="187" spans="1:32" x14ac:dyDescent="0.25">
      <c r="A187" s="490" t="s">
        <v>356</v>
      </c>
      <c r="AE187" s="490" t="s">
        <v>359</v>
      </c>
    </row>
  </sheetData>
  <mergeCells count="6">
    <mergeCell ref="A120:AF120"/>
    <mergeCell ref="A121:AF121"/>
    <mergeCell ref="A122:AF122"/>
    <mergeCell ref="A1:AF1"/>
    <mergeCell ref="A2:AF2"/>
    <mergeCell ref="A3:AF3"/>
  </mergeCells>
  <printOptions horizontalCentered="1" verticalCentered="1" headings="1"/>
  <pageMargins left="0.8" right="0.2" top="1" bottom="0.25" header="0.3" footer="0.3"/>
  <pageSetup paperSize="5" scale="47" orientation="landscape" horizontalDpi="0" verticalDpi="0" r:id="rId1"/>
  <rowBreaks count="3" manualBreakCount="3">
    <brk id="52" max="24" man="1"/>
    <brk id="113" max="24" man="1"/>
    <brk id="1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view="pageBreakPreview" zoomScale="96" zoomScaleNormal="80" zoomScaleSheetLayoutView="96" workbookViewId="0">
      <pane xSplit="1" topLeftCell="V1" activePane="topRight" state="frozen"/>
      <selection pane="topRight" activeCell="Z26" sqref="Z26"/>
    </sheetView>
  </sheetViews>
  <sheetFormatPr defaultRowHeight="15" outlineLevelCol="1" x14ac:dyDescent="0.25"/>
  <cols>
    <col min="1" max="1" width="48.140625" customWidth="1"/>
    <col min="2" max="2" width="12.7109375" customWidth="1"/>
    <col min="3" max="3" width="12.85546875" customWidth="1"/>
    <col min="4" max="5" width="12.85546875" style="951" customWidth="1"/>
    <col min="6" max="6" width="12.85546875" customWidth="1"/>
    <col min="7" max="7" width="15.28515625" customWidth="1"/>
    <col min="8" max="8" width="16" customWidth="1"/>
    <col min="9" max="9" width="14" style="1" customWidth="1"/>
    <col min="10" max="12" width="12.7109375" style="1" hidden="1" customWidth="1" outlineLevel="1"/>
    <col min="13" max="13" width="15.28515625" style="1" hidden="1" customWidth="1" outlineLevel="1"/>
    <col min="14" max="21" width="12.7109375" style="1" hidden="1" customWidth="1" outlineLevel="1"/>
    <col min="22" max="22" width="12.7109375" style="1" customWidth="1" collapsed="1"/>
    <col min="23" max="26" width="12.7109375" style="1" customWidth="1"/>
  </cols>
  <sheetData>
    <row r="1" spans="1:26" x14ac:dyDescent="0.25">
      <c r="A1" s="1432" t="s">
        <v>352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1432"/>
      <c r="M1" s="1432"/>
      <c r="N1" s="1432"/>
      <c r="O1" s="1432"/>
      <c r="P1" s="1432"/>
      <c r="Q1" s="1432"/>
      <c r="R1" s="1432"/>
      <c r="S1" s="1432"/>
      <c r="T1" s="1432"/>
      <c r="U1" s="1432"/>
      <c r="V1" s="1432"/>
      <c r="W1" s="1432"/>
      <c r="X1" s="1432"/>
      <c r="Y1" s="1432"/>
      <c r="Z1" s="1432"/>
    </row>
    <row r="2" spans="1:26" x14ac:dyDescent="0.25">
      <c r="A2" s="1432" t="s">
        <v>353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1432"/>
      <c r="Y2" s="1432"/>
      <c r="Z2" s="1432"/>
    </row>
    <row r="3" spans="1:26" x14ac:dyDescent="0.25">
      <c r="A3" s="1434" t="str">
        <f>'1011-MO'!A3:AD3</f>
        <v>For the Period October 1-31, 2021</v>
      </c>
      <c r="B3" s="1434"/>
      <c r="C3" s="1434"/>
      <c r="D3" s="1434"/>
      <c r="E3" s="1434"/>
      <c r="F3" s="1434"/>
      <c r="G3" s="1434"/>
      <c r="H3" s="1434"/>
      <c r="I3" s="1434"/>
      <c r="J3" s="1434"/>
      <c r="K3" s="1434"/>
      <c r="L3" s="1434"/>
      <c r="M3" s="1434"/>
      <c r="N3" s="1434"/>
      <c r="O3" s="1434"/>
      <c r="P3" s="1434"/>
      <c r="Q3" s="1434"/>
      <c r="R3" s="1434"/>
      <c r="S3" s="1434"/>
      <c r="T3" s="1434"/>
      <c r="U3" s="1434"/>
      <c r="V3" s="1434"/>
      <c r="W3" s="1434"/>
      <c r="X3" s="1434"/>
      <c r="Y3" s="1434"/>
      <c r="Z3" s="1434"/>
    </row>
    <row r="4" spans="1:26" s="21" customFormat="1" ht="26.25" x14ac:dyDescent="0.25">
      <c r="A4" s="71" t="s">
        <v>347</v>
      </c>
      <c r="B4" s="71" t="s">
        <v>2</v>
      </c>
      <c r="C4" s="71" t="s">
        <v>133</v>
      </c>
      <c r="D4" s="1073" t="s">
        <v>1371</v>
      </c>
      <c r="E4" s="1073" t="s">
        <v>1204</v>
      </c>
      <c r="F4" s="71" t="s">
        <v>1</v>
      </c>
      <c r="G4" s="71" t="s">
        <v>316</v>
      </c>
      <c r="H4" s="71" t="s">
        <v>314</v>
      </c>
      <c r="I4" s="74" t="s">
        <v>346</v>
      </c>
      <c r="J4" s="72"/>
      <c r="K4" s="72"/>
      <c r="L4" s="72"/>
      <c r="M4" s="72"/>
      <c r="N4" s="83"/>
      <c r="O4" s="83"/>
      <c r="P4" s="83"/>
      <c r="Q4" s="83"/>
      <c r="R4" s="83"/>
      <c r="S4" s="83"/>
      <c r="T4" s="83"/>
      <c r="U4" s="83"/>
      <c r="V4" s="74" t="s">
        <v>316</v>
      </c>
      <c r="W4" s="74" t="s">
        <v>317</v>
      </c>
      <c r="X4" s="74" t="s">
        <v>1</v>
      </c>
      <c r="Y4" s="74" t="s">
        <v>131</v>
      </c>
      <c r="Z4" s="74" t="s">
        <v>131</v>
      </c>
    </row>
    <row r="5" spans="1:26" s="21" customFormat="1" x14ac:dyDescent="0.25">
      <c r="A5" s="69"/>
      <c r="B5" s="69" t="s">
        <v>3</v>
      </c>
      <c r="C5" s="69" t="s">
        <v>134</v>
      </c>
      <c r="D5" s="1100">
        <v>44459</v>
      </c>
      <c r="E5" s="1009" t="s">
        <v>1354</v>
      </c>
      <c r="F5" s="69" t="s">
        <v>314</v>
      </c>
      <c r="G5" s="69" t="s">
        <v>314</v>
      </c>
      <c r="H5" s="69" t="s">
        <v>315</v>
      </c>
      <c r="I5" s="70" t="s">
        <v>315</v>
      </c>
      <c r="J5" s="70" t="s">
        <v>0</v>
      </c>
      <c r="K5" s="70" t="s">
        <v>120</v>
      </c>
      <c r="L5" s="70" t="s">
        <v>121</v>
      </c>
      <c r="M5" s="70" t="s">
        <v>122</v>
      </c>
      <c r="N5" s="70" t="s">
        <v>123</v>
      </c>
      <c r="O5" s="70" t="s">
        <v>124</v>
      </c>
      <c r="P5" s="70" t="s">
        <v>125</v>
      </c>
      <c r="Q5" s="70" t="s">
        <v>126</v>
      </c>
      <c r="R5" s="70" t="s">
        <v>127</v>
      </c>
      <c r="S5" s="70" t="s">
        <v>128</v>
      </c>
      <c r="T5" s="70" t="s">
        <v>129</v>
      </c>
      <c r="U5" s="70" t="s">
        <v>130</v>
      </c>
      <c r="V5" s="70" t="s">
        <v>317</v>
      </c>
      <c r="W5" s="70" t="s">
        <v>318</v>
      </c>
      <c r="X5" s="70" t="s">
        <v>317</v>
      </c>
      <c r="Y5" s="70" t="s">
        <v>314</v>
      </c>
      <c r="Z5" s="70" t="s">
        <v>132</v>
      </c>
    </row>
    <row r="6" spans="1:26" x14ac:dyDescent="0.25">
      <c r="A6" s="953" t="s">
        <v>1217</v>
      </c>
      <c r="B6" s="48"/>
      <c r="C6" s="48"/>
      <c r="D6" s="869"/>
      <c r="E6" s="869"/>
      <c r="F6" s="48"/>
      <c r="G6" s="48"/>
      <c r="H6" s="48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x14ac:dyDescent="0.25">
      <c r="A7" s="53" t="s">
        <v>138</v>
      </c>
      <c r="B7" s="51"/>
      <c r="C7" s="48"/>
      <c r="D7" s="869"/>
      <c r="E7" s="869"/>
      <c r="F7" s="48"/>
      <c r="G7" s="48"/>
      <c r="H7" s="48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x14ac:dyDescent="0.25">
      <c r="A8" s="45" t="s">
        <v>139</v>
      </c>
      <c r="B8" s="46" t="s">
        <v>43</v>
      </c>
      <c r="C8" s="52">
        <f>25000</f>
        <v>25000</v>
      </c>
      <c r="D8" s="720"/>
      <c r="E8" s="720"/>
      <c r="F8" s="52">
        <f>SUM(C8:E8)</f>
        <v>25000</v>
      </c>
      <c r="G8" s="52">
        <f>F8/12*9</f>
        <v>18750</v>
      </c>
      <c r="H8" s="52">
        <f>F8/12</f>
        <v>2083.3333333333335</v>
      </c>
      <c r="I8" s="43">
        <f t="shared" ref="I8:I23" si="0">G8+H8</f>
        <v>20833.333333333332</v>
      </c>
      <c r="J8" s="43"/>
      <c r="K8" s="43"/>
      <c r="L8" s="43"/>
      <c r="M8" s="43"/>
      <c r="N8" s="43"/>
      <c r="O8" s="43"/>
      <c r="P8" s="381">
        <f>2200</f>
        <v>2200</v>
      </c>
      <c r="Q8" s="43">
        <v>2672</v>
      </c>
      <c r="R8" s="43"/>
      <c r="S8" s="43"/>
      <c r="T8" s="43"/>
      <c r="U8" s="43"/>
      <c r="V8" s="43">
        <f>J8+K8+L8+M8+N8+O8+P8+Q8+R8</f>
        <v>4872</v>
      </c>
      <c r="W8" s="43">
        <f>S8</f>
        <v>0</v>
      </c>
      <c r="X8" s="718">
        <f>V8+W8</f>
        <v>4872</v>
      </c>
      <c r="Y8" s="43">
        <f>I8-X8</f>
        <v>15961.333333333332</v>
      </c>
      <c r="Z8" s="43">
        <f t="shared" ref="Z8:Z24" si="1">F8-X8</f>
        <v>20128</v>
      </c>
    </row>
    <row r="9" spans="1:26" x14ac:dyDescent="0.25">
      <c r="A9" s="45" t="s">
        <v>44</v>
      </c>
      <c r="B9" s="46" t="s">
        <v>140</v>
      </c>
      <c r="C9" s="52">
        <f>18000</f>
        <v>18000</v>
      </c>
      <c r="D9" s="720"/>
      <c r="E9" s="720">
        <v>5060</v>
      </c>
      <c r="F9" s="720">
        <f t="shared" ref="F9:F24" si="2">SUM(C9:E9)</f>
        <v>23060</v>
      </c>
      <c r="G9" s="720">
        <f t="shared" ref="G9:G24" si="3">F9/12*9</f>
        <v>17295</v>
      </c>
      <c r="H9" s="52">
        <f t="shared" ref="H9:H26" si="4">F9/12</f>
        <v>1921.6666666666667</v>
      </c>
      <c r="I9" s="43">
        <f t="shared" si="0"/>
        <v>19216.666666666668</v>
      </c>
      <c r="J9" s="43"/>
      <c r="K9" s="43"/>
      <c r="L9" s="43"/>
      <c r="M9" s="43"/>
      <c r="N9" s="43"/>
      <c r="O9" s="43"/>
      <c r="P9" s="43">
        <v>6290</v>
      </c>
      <c r="Q9" s="43">
        <v>5060</v>
      </c>
      <c r="R9" s="43"/>
      <c r="S9" s="43"/>
      <c r="T9" s="43"/>
      <c r="U9" s="43"/>
      <c r="V9" s="718">
        <f t="shared" ref="V9:V24" si="5">J9+K9+L9+M9+N9+O9+P9+Q9+R9</f>
        <v>11350</v>
      </c>
      <c r="W9" s="718">
        <f t="shared" ref="W9:W24" si="6">S9</f>
        <v>0</v>
      </c>
      <c r="X9" s="43">
        <f t="shared" ref="X9:X17" si="7">V9+W9</f>
        <v>11350</v>
      </c>
      <c r="Y9" s="718">
        <f t="shared" ref="Y9:Y24" si="8">I9-X9</f>
        <v>7866.6666666666679</v>
      </c>
      <c r="Z9" s="718">
        <f t="shared" si="1"/>
        <v>11710</v>
      </c>
    </row>
    <row r="10" spans="1:26" x14ac:dyDescent="0.25">
      <c r="A10" s="45" t="s">
        <v>50</v>
      </c>
      <c r="B10" s="46" t="s">
        <v>51</v>
      </c>
      <c r="C10" s="52">
        <f>30000</f>
        <v>30000</v>
      </c>
      <c r="D10" s="720">
        <f>25000</f>
        <v>25000</v>
      </c>
      <c r="E10" s="720"/>
      <c r="F10" s="720">
        <f t="shared" si="2"/>
        <v>55000</v>
      </c>
      <c r="G10" s="720">
        <f t="shared" si="3"/>
        <v>41250</v>
      </c>
      <c r="H10" s="52">
        <f t="shared" si="4"/>
        <v>4583.333333333333</v>
      </c>
      <c r="I10" s="43">
        <f t="shared" si="0"/>
        <v>45833.333333333336</v>
      </c>
      <c r="J10" s="43"/>
      <c r="K10" s="43">
        <v>2000</v>
      </c>
      <c r="L10" s="43">
        <v>7205</v>
      </c>
      <c r="M10" s="43"/>
      <c r="N10" s="43">
        <v>450</v>
      </c>
      <c r="O10" s="43">
        <v>3710</v>
      </c>
      <c r="P10" s="43">
        <v>1375</v>
      </c>
      <c r="Q10" s="43">
        <v>1524</v>
      </c>
      <c r="R10" s="43">
        <v>1850</v>
      </c>
      <c r="S10" s="43"/>
      <c r="T10" s="43"/>
      <c r="U10" s="43"/>
      <c r="V10" s="718">
        <f t="shared" si="5"/>
        <v>18114</v>
      </c>
      <c r="W10" s="718">
        <f t="shared" si="6"/>
        <v>0</v>
      </c>
      <c r="X10" s="43">
        <f t="shared" si="7"/>
        <v>18114</v>
      </c>
      <c r="Y10" s="718">
        <f t="shared" si="8"/>
        <v>27719.333333333336</v>
      </c>
      <c r="Z10" s="718">
        <f t="shared" si="1"/>
        <v>36886</v>
      </c>
    </row>
    <row r="11" spans="1:26" x14ac:dyDescent="0.25">
      <c r="A11" s="45" t="s">
        <v>55</v>
      </c>
      <c r="B11" s="46" t="s">
        <v>56</v>
      </c>
      <c r="C11" s="52">
        <v>20000</v>
      </c>
      <c r="D11" s="720"/>
      <c r="E11" s="720"/>
      <c r="F11" s="720">
        <f t="shared" si="2"/>
        <v>20000</v>
      </c>
      <c r="G11" s="720">
        <f t="shared" si="3"/>
        <v>15000</v>
      </c>
      <c r="H11" s="52">
        <f t="shared" si="4"/>
        <v>1666.6666666666667</v>
      </c>
      <c r="I11" s="43">
        <f t="shared" si="0"/>
        <v>16666.666666666668</v>
      </c>
      <c r="J11" s="43"/>
      <c r="K11" s="43"/>
      <c r="L11" s="43">
        <v>1710.19</v>
      </c>
      <c r="M11" s="43"/>
      <c r="N11" s="43">
        <v>3048.46</v>
      </c>
      <c r="O11" s="43">
        <v>2990.4</v>
      </c>
      <c r="P11" s="43"/>
      <c r="Q11" s="43">
        <v>7586.28</v>
      </c>
      <c r="R11" s="43"/>
      <c r="S11" s="43"/>
      <c r="T11" s="43"/>
      <c r="U11" s="43"/>
      <c r="V11" s="718">
        <f t="shared" si="5"/>
        <v>15335.329999999998</v>
      </c>
      <c r="W11" s="718">
        <f t="shared" si="6"/>
        <v>0</v>
      </c>
      <c r="X11" s="43">
        <f t="shared" si="7"/>
        <v>15335.329999999998</v>
      </c>
      <c r="Y11" s="718">
        <f t="shared" si="8"/>
        <v>1331.3366666666698</v>
      </c>
      <c r="Z11" s="718">
        <f t="shared" si="1"/>
        <v>4664.6700000000019</v>
      </c>
    </row>
    <row r="12" spans="1:26" x14ac:dyDescent="0.25">
      <c r="A12" s="45" t="s">
        <v>141</v>
      </c>
      <c r="B12" s="46" t="s">
        <v>60</v>
      </c>
      <c r="C12" s="52">
        <v>24000</v>
      </c>
      <c r="D12" s="720"/>
      <c r="E12" s="720"/>
      <c r="F12" s="720">
        <f t="shared" si="2"/>
        <v>24000</v>
      </c>
      <c r="G12" s="720">
        <f t="shared" si="3"/>
        <v>18000</v>
      </c>
      <c r="H12" s="52">
        <f t="shared" si="4"/>
        <v>2000</v>
      </c>
      <c r="I12" s="43">
        <f t="shared" si="0"/>
        <v>20000</v>
      </c>
      <c r="J12" s="43">
        <v>1997</v>
      </c>
      <c r="K12" s="43">
        <v>1999</v>
      </c>
      <c r="L12" s="43">
        <v>1999</v>
      </c>
      <c r="M12" s="43">
        <v>3998</v>
      </c>
      <c r="N12" s="43"/>
      <c r="O12" s="43">
        <v>1999</v>
      </c>
      <c r="P12" s="718">
        <v>1999</v>
      </c>
      <c r="Q12" s="43">
        <v>1999</v>
      </c>
      <c r="R12" s="43">
        <v>1999</v>
      </c>
      <c r="S12" s="43">
        <v>1999</v>
      </c>
      <c r="T12" s="43"/>
      <c r="U12" s="43"/>
      <c r="V12" s="718">
        <f t="shared" si="5"/>
        <v>17989</v>
      </c>
      <c r="W12" s="718">
        <f t="shared" si="6"/>
        <v>1999</v>
      </c>
      <c r="X12" s="43">
        <f t="shared" si="7"/>
        <v>19988</v>
      </c>
      <c r="Y12" s="718">
        <f t="shared" si="8"/>
        <v>12</v>
      </c>
      <c r="Z12" s="718">
        <f t="shared" si="1"/>
        <v>4012</v>
      </c>
    </row>
    <row r="13" spans="1:26" x14ac:dyDescent="0.25">
      <c r="A13" s="45" t="s">
        <v>61</v>
      </c>
      <c r="B13" s="46" t="s">
        <v>62</v>
      </c>
      <c r="C13" s="52">
        <f>36000</f>
        <v>36000</v>
      </c>
      <c r="D13" s="720">
        <f>5000</f>
        <v>5000</v>
      </c>
      <c r="E13" s="720"/>
      <c r="F13" s="720">
        <f t="shared" si="2"/>
        <v>41000</v>
      </c>
      <c r="G13" s="720">
        <f t="shared" si="3"/>
        <v>30750</v>
      </c>
      <c r="H13" s="52">
        <f t="shared" ref="H13" si="9">F13/12</f>
        <v>3416.6666666666665</v>
      </c>
      <c r="I13" s="43">
        <f t="shared" si="0"/>
        <v>34166.666666666664</v>
      </c>
      <c r="J13" s="43">
        <v>1100</v>
      </c>
      <c r="K13" s="43">
        <v>1299</v>
      </c>
      <c r="L13" s="43">
        <v>1299</v>
      </c>
      <c r="M13" s="43">
        <v>2598</v>
      </c>
      <c r="N13" s="718">
        <v>4318.1899999999996</v>
      </c>
      <c r="O13" s="43">
        <f>1299</f>
        <v>1299</v>
      </c>
      <c r="P13" s="718">
        <v>1299</v>
      </c>
      <c r="Q13" s="43">
        <v>3698</v>
      </c>
      <c r="R13" s="43">
        <v>3698</v>
      </c>
      <c r="S13" s="43">
        <v>3698</v>
      </c>
      <c r="T13" s="43"/>
      <c r="U13" s="43"/>
      <c r="V13" s="718">
        <f t="shared" si="5"/>
        <v>20608.189999999999</v>
      </c>
      <c r="W13" s="718">
        <f t="shared" si="6"/>
        <v>3698</v>
      </c>
      <c r="X13" s="43">
        <f t="shared" ref="X13" si="10">V13+W13</f>
        <v>24306.19</v>
      </c>
      <c r="Y13" s="718">
        <f t="shared" si="8"/>
        <v>9860.4766666666656</v>
      </c>
      <c r="Z13" s="718">
        <f t="shared" si="1"/>
        <v>16693.810000000001</v>
      </c>
    </row>
    <row r="14" spans="1:26" x14ac:dyDescent="0.25">
      <c r="A14" s="45" t="s">
        <v>69</v>
      </c>
      <c r="B14" s="46" t="s">
        <v>70</v>
      </c>
      <c r="C14" s="52">
        <f>217200</f>
        <v>217200</v>
      </c>
      <c r="D14" s="720"/>
      <c r="E14" s="720"/>
      <c r="F14" s="720">
        <f t="shared" si="2"/>
        <v>217200</v>
      </c>
      <c r="G14" s="720">
        <f t="shared" si="3"/>
        <v>162900</v>
      </c>
      <c r="H14" s="52">
        <f t="shared" si="4"/>
        <v>18100</v>
      </c>
      <c r="I14" s="43">
        <f t="shared" si="0"/>
        <v>181000</v>
      </c>
      <c r="J14" s="43">
        <v>11108.54</v>
      </c>
      <c r="K14" s="43">
        <v>17515</v>
      </c>
      <c r="L14" s="43">
        <v>17540.830000000002</v>
      </c>
      <c r="M14" s="43">
        <v>17600</v>
      </c>
      <c r="N14" s="43">
        <v>17600</v>
      </c>
      <c r="O14" s="43">
        <v>20000</v>
      </c>
      <c r="P14" s="43">
        <v>12780</v>
      </c>
      <c r="Q14" s="43">
        <v>16400</v>
      </c>
      <c r="R14" s="43">
        <v>17589.169999999998</v>
      </c>
      <c r="S14" s="43">
        <v>16400</v>
      </c>
      <c r="T14" s="43"/>
      <c r="U14" s="43"/>
      <c r="V14" s="718">
        <f t="shared" si="5"/>
        <v>148133.53999999998</v>
      </c>
      <c r="W14" s="718">
        <f t="shared" si="6"/>
        <v>16400</v>
      </c>
      <c r="X14" s="43">
        <f t="shared" si="7"/>
        <v>164533.53999999998</v>
      </c>
      <c r="Y14" s="718">
        <f t="shared" si="8"/>
        <v>16466.460000000021</v>
      </c>
      <c r="Z14" s="718">
        <f t="shared" si="1"/>
        <v>52666.460000000021</v>
      </c>
    </row>
    <row r="15" spans="1:26" x14ac:dyDescent="0.25">
      <c r="A15" s="45" t="s">
        <v>75</v>
      </c>
      <c r="B15" s="46" t="s">
        <v>76</v>
      </c>
      <c r="C15" s="52">
        <f>4000</f>
        <v>4000</v>
      </c>
      <c r="D15" s="720"/>
      <c r="E15" s="720"/>
      <c r="F15" s="720">
        <f t="shared" si="2"/>
        <v>4000</v>
      </c>
      <c r="G15" s="720">
        <f t="shared" si="3"/>
        <v>3000</v>
      </c>
      <c r="H15" s="52">
        <f t="shared" si="4"/>
        <v>333.33333333333331</v>
      </c>
      <c r="I15" s="43">
        <f t="shared" si="0"/>
        <v>3333.3333333333335</v>
      </c>
      <c r="J15" s="43"/>
      <c r="K15" s="43"/>
      <c r="L15" s="43"/>
      <c r="M15" s="43"/>
      <c r="N15" s="43"/>
      <c r="O15" s="43"/>
      <c r="P15" s="43">
        <v>2850</v>
      </c>
      <c r="Q15" s="43"/>
      <c r="R15" s="43"/>
      <c r="S15" s="43"/>
      <c r="T15" s="43"/>
      <c r="U15" s="43"/>
      <c r="V15" s="718">
        <f t="shared" si="5"/>
        <v>2850</v>
      </c>
      <c r="W15" s="718">
        <f t="shared" si="6"/>
        <v>0</v>
      </c>
      <c r="X15" s="43">
        <f t="shared" si="7"/>
        <v>2850</v>
      </c>
      <c r="Y15" s="718">
        <f t="shared" si="8"/>
        <v>483.33333333333348</v>
      </c>
      <c r="Z15" s="718">
        <f t="shared" si="1"/>
        <v>1150</v>
      </c>
    </row>
    <row r="16" spans="1:26" x14ac:dyDescent="0.25">
      <c r="A16" s="45" t="s">
        <v>142</v>
      </c>
      <c r="B16" s="46" t="s">
        <v>76</v>
      </c>
      <c r="C16" s="52">
        <f>5000</f>
        <v>5000</v>
      </c>
      <c r="D16" s="720">
        <f>15000</f>
        <v>15000</v>
      </c>
      <c r="E16" s="720"/>
      <c r="F16" s="720">
        <f>SUM(C16:E16)</f>
        <v>20000</v>
      </c>
      <c r="G16" s="720">
        <f t="shared" si="3"/>
        <v>15000</v>
      </c>
      <c r="H16" s="52">
        <f t="shared" si="4"/>
        <v>1666.6666666666667</v>
      </c>
      <c r="I16" s="43">
        <f t="shared" si="0"/>
        <v>16666.666666666668</v>
      </c>
      <c r="J16" s="43"/>
      <c r="K16" s="43"/>
      <c r="L16" s="43"/>
      <c r="M16" s="43"/>
      <c r="N16" s="43"/>
      <c r="O16" s="43"/>
      <c r="P16" s="43">
        <v>2850</v>
      </c>
      <c r="Q16" s="43"/>
      <c r="R16" s="718">
        <v>400</v>
      </c>
      <c r="S16" s="43"/>
      <c r="T16" s="43"/>
      <c r="U16" s="43"/>
      <c r="V16" s="718">
        <f t="shared" si="5"/>
        <v>3250</v>
      </c>
      <c r="W16" s="718">
        <f t="shared" si="6"/>
        <v>0</v>
      </c>
      <c r="X16" s="43">
        <f t="shared" si="7"/>
        <v>3250</v>
      </c>
      <c r="Y16" s="718">
        <f t="shared" si="8"/>
        <v>13416.666666666668</v>
      </c>
      <c r="Z16" s="718">
        <f t="shared" si="1"/>
        <v>16750</v>
      </c>
    </row>
    <row r="17" spans="1:26" x14ac:dyDescent="0.25">
      <c r="A17" s="45" t="s">
        <v>143</v>
      </c>
      <c r="B17" s="46" t="s">
        <v>79</v>
      </c>
      <c r="C17" s="52">
        <f>6000</f>
        <v>6000</v>
      </c>
      <c r="D17" s="720"/>
      <c r="E17" s="720"/>
      <c r="F17" s="720">
        <f t="shared" si="2"/>
        <v>6000</v>
      </c>
      <c r="G17" s="720">
        <f t="shared" si="3"/>
        <v>4500</v>
      </c>
      <c r="H17" s="52">
        <f t="shared" si="4"/>
        <v>500</v>
      </c>
      <c r="I17" s="43">
        <f t="shared" si="0"/>
        <v>5000</v>
      </c>
      <c r="J17" s="43"/>
      <c r="K17" s="43"/>
      <c r="L17" s="43">
        <v>240</v>
      </c>
      <c r="M17" s="43"/>
      <c r="N17" s="43"/>
      <c r="O17" s="43"/>
      <c r="P17" s="43"/>
      <c r="Q17" s="43">
        <v>260</v>
      </c>
      <c r="R17" s="43"/>
      <c r="S17" s="43"/>
      <c r="T17" s="43"/>
      <c r="U17" s="43"/>
      <c r="V17" s="718">
        <f t="shared" si="5"/>
        <v>500</v>
      </c>
      <c r="W17" s="718">
        <f t="shared" si="6"/>
        <v>0</v>
      </c>
      <c r="X17" s="43">
        <f t="shared" si="7"/>
        <v>500</v>
      </c>
      <c r="Y17" s="718">
        <f t="shared" si="8"/>
        <v>4500</v>
      </c>
      <c r="Z17" s="718">
        <f t="shared" si="1"/>
        <v>5500</v>
      </c>
    </row>
    <row r="18" spans="1:26" x14ac:dyDescent="0.25">
      <c r="A18" s="45" t="s">
        <v>394</v>
      </c>
      <c r="B18" s="46" t="s">
        <v>81</v>
      </c>
      <c r="C18" s="52">
        <f>1500</f>
        <v>1500</v>
      </c>
      <c r="D18" s="720"/>
      <c r="E18" s="720"/>
      <c r="F18" s="720">
        <f t="shared" si="2"/>
        <v>1500</v>
      </c>
      <c r="G18" s="720">
        <f t="shared" si="3"/>
        <v>1125</v>
      </c>
      <c r="H18" s="720">
        <f t="shared" si="4"/>
        <v>125</v>
      </c>
      <c r="I18" s="718">
        <f t="shared" si="0"/>
        <v>1250</v>
      </c>
      <c r="J18" s="43"/>
      <c r="K18" s="43">
        <v>789.06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718">
        <f t="shared" si="5"/>
        <v>789.06</v>
      </c>
      <c r="W18" s="718">
        <f t="shared" si="6"/>
        <v>0</v>
      </c>
      <c r="X18" s="718">
        <f t="shared" ref="X18:X23" si="11">V18+W18</f>
        <v>789.06</v>
      </c>
      <c r="Y18" s="718">
        <f t="shared" si="8"/>
        <v>460.94000000000005</v>
      </c>
      <c r="Z18" s="718">
        <f t="shared" si="1"/>
        <v>710.94</v>
      </c>
    </row>
    <row r="19" spans="1:26" x14ac:dyDescent="0.25">
      <c r="A19" s="45" t="s">
        <v>144</v>
      </c>
      <c r="B19" s="46" t="s">
        <v>83</v>
      </c>
      <c r="C19" s="52">
        <f>1500</f>
        <v>1500</v>
      </c>
      <c r="D19" s="720"/>
      <c r="E19" s="720"/>
      <c r="F19" s="720">
        <f t="shared" si="2"/>
        <v>1500</v>
      </c>
      <c r="G19" s="720">
        <f t="shared" si="3"/>
        <v>1125</v>
      </c>
      <c r="H19" s="720">
        <f t="shared" si="4"/>
        <v>125</v>
      </c>
      <c r="I19" s="718">
        <f t="shared" si="0"/>
        <v>1250</v>
      </c>
      <c r="J19" s="43"/>
      <c r="K19" s="43">
        <v>1422.4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718">
        <f t="shared" si="5"/>
        <v>1422.4</v>
      </c>
      <c r="W19" s="718">
        <f t="shared" si="6"/>
        <v>0</v>
      </c>
      <c r="X19" s="718">
        <f t="shared" si="11"/>
        <v>1422.4</v>
      </c>
      <c r="Y19" s="718">
        <f t="shared" si="8"/>
        <v>-172.40000000000009</v>
      </c>
      <c r="Z19" s="718">
        <f t="shared" si="1"/>
        <v>77.599999999999909</v>
      </c>
    </row>
    <row r="20" spans="1:26" x14ac:dyDescent="0.25">
      <c r="A20" s="45" t="s">
        <v>86</v>
      </c>
      <c r="B20" s="46" t="s">
        <v>87</v>
      </c>
      <c r="C20" s="52">
        <f>10000</f>
        <v>10000</v>
      </c>
      <c r="D20" s="720"/>
      <c r="E20" s="720"/>
      <c r="F20" s="720">
        <f t="shared" si="2"/>
        <v>10000</v>
      </c>
      <c r="G20" s="720">
        <f t="shared" si="3"/>
        <v>7500</v>
      </c>
      <c r="H20" s="720">
        <f t="shared" si="4"/>
        <v>833.33333333333337</v>
      </c>
      <c r="I20" s="718">
        <f t="shared" si="0"/>
        <v>8333.3333333333339</v>
      </c>
      <c r="J20" s="43"/>
      <c r="K20" s="43"/>
      <c r="L20" s="43"/>
      <c r="M20" s="43"/>
      <c r="N20" s="43"/>
      <c r="O20" s="43"/>
      <c r="P20" s="43">
        <v>340</v>
      </c>
      <c r="Q20" s="43">
        <v>1575</v>
      </c>
      <c r="R20" s="43"/>
      <c r="S20" s="43">
        <v>2500</v>
      </c>
      <c r="T20" s="43"/>
      <c r="U20" s="43"/>
      <c r="V20" s="718">
        <f t="shared" si="5"/>
        <v>1915</v>
      </c>
      <c r="W20" s="718">
        <f t="shared" si="6"/>
        <v>2500</v>
      </c>
      <c r="X20" s="718">
        <f t="shared" si="11"/>
        <v>4415</v>
      </c>
      <c r="Y20" s="718">
        <f t="shared" si="8"/>
        <v>3918.3333333333339</v>
      </c>
      <c r="Z20" s="718">
        <f t="shared" si="1"/>
        <v>5585</v>
      </c>
    </row>
    <row r="21" spans="1:26" x14ac:dyDescent="0.25">
      <c r="A21" s="45" t="s">
        <v>253</v>
      </c>
      <c r="B21" s="46" t="s">
        <v>93</v>
      </c>
      <c r="C21" s="52"/>
      <c r="D21" s="720"/>
      <c r="E21" s="720"/>
      <c r="F21" s="720">
        <f t="shared" si="2"/>
        <v>0</v>
      </c>
      <c r="G21" s="720">
        <f t="shared" si="3"/>
        <v>0</v>
      </c>
      <c r="H21" s="720">
        <f t="shared" si="4"/>
        <v>0</v>
      </c>
      <c r="I21" s="718">
        <f t="shared" si="0"/>
        <v>0</v>
      </c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718">
        <f t="shared" si="5"/>
        <v>0</v>
      </c>
      <c r="W21" s="718">
        <f t="shared" si="6"/>
        <v>0</v>
      </c>
      <c r="X21" s="718">
        <f t="shared" si="11"/>
        <v>0</v>
      </c>
      <c r="Y21" s="718">
        <f t="shared" si="8"/>
        <v>0</v>
      </c>
      <c r="Z21" s="718">
        <f t="shared" si="1"/>
        <v>0</v>
      </c>
    </row>
    <row r="22" spans="1:26" x14ac:dyDescent="0.25">
      <c r="A22" s="273" t="s">
        <v>371</v>
      </c>
      <c r="B22" s="46"/>
      <c r="C22" s="52">
        <f>10000</f>
        <v>10000</v>
      </c>
      <c r="D22" s="720"/>
      <c r="E22" s="720"/>
      <c r="F22" s="720">
        <f t="shared" si="2"/>
        <v>10000</v>
      </c>
      <c r="G22" s="720">
        <f t="shared" si="3"/>
        <v>7500</v>
      </c>
      <c r="H22" s="720">
        <f t="shared" si="4"/>
        <v>833.33333333333337</v>
      </c>
      <c r="I22" s="718">
        <f t="shared" si="0"/>
        <v>8333.3333333333339</v>
      </c>
      <c r="J22" s="43"/>
      <c r="K22" s="43">
        <v>3397.75</v>
      </c>
      <c r="L22" s="43"/>
      <c r="M22" s="43"/>
      <c r="N22" s="43"/>
      <c r="O22" s="43"/>
      <c r="P22" s="43">
        <v>5000</v>
      </c>
      <c r="Q22" s="43"/>
      <c r="R22" s="43"/>
      <c r="S22" s="43"/>
      <c r="T22" s="43"/>
      <c r="U22" s="43"/>
      <c r="V22" s="718">
        <f t="shared" si="5"/>
        <v>8397.75</v>
      </c>
      <c r="W22" s="718">
        <f t="shared" si="6"/>
        <v>0</v>
      </c>
      <c r="X22" s="718">
        <f t="shared" si="11"/>
        <v>8397.75</v>
      </c>
      <c r="Y22" s="718">
        <f t="shared" si="8"/>
        <v>-64.41666666666606</v>
      </c>
      <c r="Z22" s="718">
        <f t="shared" si="1"/>
        <v>1602.25</v>
      </c>
    </row>
    <row r="23" spans="1:26" x14ac:dyDescent="0.25">
      <c r="A23" s="45" t="s">
        <v>395</v>
      </c>
      <c r="B23" s="46"/>
      <c r="C23" s="52">
        <f>15300</f>
        <v>15300</v>
      </c>
      <c r="D23" s="720"/>
      <c r="E23" s="720"/>
      <c r="F23" s="720">
        <f t="shared" si="2"/>
        <v>15300</v>
      </c>
      <c r="G23" s="720">
        <f t="shared" si="3"/>
        <v>11475</v>
      </c>
      <c r="H23" s="720">
        <f t="shared" si="4"/>
        <v>1275</v>
      </c>
      <c r="I23" s="43">
        <f t="shared" si="0"/>
        <v>12750</v>
      </c>
      <c r="J23" s="43"/>
      <c r="K23" s="43">
        <v>15300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718">
        <f t="shared" si="5"/>
        <v>15300</v>
      </c>
      <c r="W23" s="718">
        <f t="shared" si="6"/>
        <v>0</v>
      </c>
      <c r="X23" s="718">
        <f t="shared" si="11"/>
        <v>15300</v>
      </c>
      <c r="Y23" s="718">
        <f t="shared" si="8"/>
        <v>-2550</v>
      </c>
      <c r="Z23" s="718">
        <f t="shared" si="1"/>
        <v>0</v>
      </c>
    </row>
    <row r="24" spans="1:26" x14ac:dyDescent="0.25">
      <c r="A24" s="48"/>
      <c r="B24" s="48"/>
      <c r="C24" s="78"/>
      <c r="D24" s="726"/>
      <c r="E24" s="726"/>
      <c r="F24" s="720">
        <f t="shared" si="2"/>
        <v>0</v>
      </c>
      <c r="G24" s="720">
        <f t="shared" si="3"/>
        <v>0</v>
      </c>
      <c r="H24" s="720">
        <f t="shared" si="4"/>
        <v>0</v>
      </c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718">
        <f t="shared" si="5"/>
        <v>0</v>
      </c>
      <c r="W24" s="718">
        <f t="shared" si="6"/>
        <v>0</v>
      </c>
      <c r="X24" s="43"/>
      <c r="Y24" s="718">
        <f t="shared" si="8"/>
        <v>0</v>
      </c>
      <c r="Z24" s="718">
        <f t="shared" si="1"/>
        <v>0</v>
      </c>
    </row>
    <row r="25" spans="1:26" s="21" customFormat="1" ht="16.5" x14ac:dyDescent="0.3">
      <c r="A25" s="305" t="s">
        <v>108</v>
      </c>
      <c r="B25" s="294"/>
      <c r="C25" s="306">
        <f>SUM(C8:C23)</f>
        <v>423500</v>
      </c>
      <c r="D25" s="306">
        <f>SUM(D8:D23)</f>
        <v>45000</v>
      </c>
      <c r="E25" s="306">
        <f>SUM(E8:E23)</f>
        <v>5060</v>
      </c>
      <c r="F25" s="306">
        <f t="shared" ref="F25:Z25" si="12">SUM(F8:F23)</f>
        <v>473560</v>
      </c>
      <c r="G25" s="306">
        <f t="shared" si="12"/>
        <v>355170</v>
      </c>
      <c r="H25" s="306">
        <f>SUM(H8:H23)</f>
        <v>39463.333333333336</v>
      </c>
      <c r="I25" s="306">
        <f t="shared" si="12"/>
        <v>394633.33333333331</v>
      </c>
      <c r="J25" s="306">
        <f t="shared" si="12"/>
        <v>14205.54</v>
      </c>
      <c r="K25" s="306">
        <f t="shared" si="12"/>
        <v>43722.210000000006</v>
      </c>
      <c r="L25" s="306">
        <f t="shared" si="12"/>
        <v>29994.020000000004</v>
      </c>
      <c r="M25" s="306">
        <f t="shared" si="12"/>
        <v>24196</v>
      </c>
      <c r="N25" s="306">
        <f t="shared" si="12"/>
        <v>25416.65</v>
      </c>
      <c r="O25" s="306">
        <f t="shared" si="12"/>
        <v>29998.400000000001</v>
      </c>
      <c r="P25" s="306">
        <f t="shared" si="12"/>
        <v>36983</v>
      </c>
      <c r="Q25" s="306">
        <f t="shared" si="12"/>
        <v>40774.28</v>
      </c>
      <c r="R25" s="306">
        <f t="shared" si="12"/>
        <v>25536.17</v>
      </c>
      <c r="S25" s="306">
        <f t="shared" si="12"/>
        <v>24597</v>
      </c>
      <c r="T25" s="306">
        <f t="shared" si="12"/>
        <v>0</v>
      </c>
      <c r="U25" s="306">
        <f t="shared" si="12"/>
        <v>0</v>
      </c>
      <c r="V25" s="306">
        <f t="shared" si="12"/>
        <v>270826.27</v>
      </c>
      <c r="W25" s="306">
        <f t="shared" si="12"/>
        <v>24597</v>
      </c>
      <c r="X25" s="306">
        <f t="shared" si="12"/>
        <v>295423.27</v>
      </c>
      <c r="Y25" s="306">
        <f t="shared" si="12"/>
        <v>99210.063333333354</v>
      </c>
      <c r="Z25" s="306">
        <f t="shared" si="12"/>
        <v>178136.73</v>
      </c>
    </row>
    <row r="26" spans="1:26" s="21" customFormat="1" ht="16.5" x14ac:dyDescent="0.3">
      <c r="A26" s="305" t="s">
        <v>299</v>
      </c>
      <c r="B26" s="294"/>
      <c r="C26" s="306"/>
      <c r="D26" s="306"/>
      <c r="E26" s="306"/>
      <c r="F26" s="306"/>
      <c r="G26" s="306"/>
      <c r="H26" s="720">
        <f t="shared" si="4"/>
        <v>0</v>
      </c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</row>
    <row r="27" spans="1:26" s="21" customFormat="1" ht="16.5" x14ac:dyDescent="0.3">
      <c r="A27" s="53" t="s">
        <v>390</v>
      </c>
      <c r="B27" s="294"/>
      <c r="C27" s="30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718">
        <f t="shared" ref="V27:V30" si="13">J27+K27+L27+M27+N27+O27+P27+Q27+R27</f>
        <v>0</v>
      </c>
      <c r="W27" s="718">
        <f t="shared" ref="W27:W30" si="14">S27</f>
        <v>0</v>
      </c>
      <c r="X27" s="306"/>
      <c r="Y27" s="306"/>
      <c r="Z27" s="306"/>
    </row>
    <row r="28" spans="1:26" s="21" customFormat="1" x14ac:dyDescent="0.25">
      <c r="A28" s="180" t="s">
        <v>396</v>
      </c>
      <c r="B28" s="294"/>
      <c r="C28" s="52">
        <f>300000</f>
        <v>300000</v>
      </c>
      <c r="D28" s="720">
        <f>-45000</f>
        <v>-45000</v>
      </c>
      <c r="E28" s="720"/>
      <c r="F28" s="720">
        <f t="shared" ref="F28:F30" si="15">SUM(C28:E28)</f>
        <v>255000</v>
      </c>
      <c r="G28" s="720">
        <f>C28</f>
        <v>300000</v>
      </c>
      <c r="H28" s="52">
        <f>F28</f>
        <v>255000</v>
      </c>
      <c r="I28" s="52">
        <f>F28</f>
        <v>255000</v>
      </c>
      <c r="J28" s="52"/>
      <c r="K28" s="52"/>
      <c r="L28" s="52"/>
      <c r="M28" s="52"/>
      <c r="N28" s="52">
        <v>139600</v>
      </c>
      <c r="O28" s="52">
        <f>34900</f>
        <v>34900</v>
      </c>
      <c r="P28" s="52"/>
      <c r="Q28" s="52">
        <v>49800</v>
      </c>
      <c r="R28" s="52"/>
      <c r="S28" s="52"/>
      <c r="T28" s="52"/>
      <c r="U28" s="52"/>
      <c r="V28" s="718">
        <f t="shared" si="13"/>
        <v>224300</v>
      </c>
      <c r="W28" s="718">
        <f t="shared" si="14"/>
        <v>0</v>
      </c>
      <c r="X28" s="43">
        <f t="shared" ref="X28:X30" si="16">V28+W28</f>
        <v>224300</v>
      </c>
      <c r="Y28" s="43">
        <f t="shared" ref="Y28:Y30" si="17">I28-X28</f>
        <v>30700</v>
      </c>
      <c r="Z28" s="43">
        <f>F28-X28</f>
        <v>30700</v>
      </c>
    </row>
    <row r="29" spans="1:26" s="21" customFormat="1" x14ac:dyDescent="0.25">
      <c r="A29" s="53" t="s">
        <v>241</v>
      </c>
      <c r="B29" s="294"/>
      <c r="C29" s="52"/>
      <c r="D29" s="720"/>
      <c r="E29" s="720"/>
      <c r="F29" s="720">
        <f t="shared" si="15"/>
        <v>0</v>
      </c>
      <c r="G29" s="720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718">
        <f t="shared" si="13"/>
        <v>0</v>
      </c>
      <c r="W29" s="718">
        <f t="shared" si="14"/>
        <v>0</v>
      </c>
      <c r="X29" s="43">
        <f t="shared" si="16"/>
        <v>0</v>
      </c>
      <c r="Y29" s="43">
        <f t="shared" si="17"/>
        <v>0</v>
      </c>
      <c r="Z29" s="43">
        <f>F29-X29</f>
        <v>0</v>
      </c>
    </row>
    <row r="30" spans="1:26" s="21" customFormat="1" x14ac:dyDescent="0.25">
      <c r="A30" s="180" t="s">
        <v>397</v>
      </c>
      <c r="B30" s="294"/>
      <c r="C30" s="52">
        <f>30000</f>
        <v>30000</v>
      </c>
      <c r="D30" s="720"/>
      <c r="E30" s="720"/>
      <c r="F30" s="720">
        <f t="shared" si="15"/>
        <v>30000</v>
      </c>
      <c r="G30" s="720">
        <f>C30</f>
        <v>30000</v>
      </c>
      <c r="H30" s="52">
        <f>F30</f>
        <v>30000</v>
      </c>
      <c r="I30" s="52">
        <f>F30</f>
        <v>30000</v>
      </c>
      <c r="J30" s="52"/>
      <c r="K30" s="52"/>
      <c r="L30" s="52"/>
      <c r="M30" s="52"/>
      <c r="N30" s="52">
        <v>29400</v>
      </c>
      <c r="O30" s="52"/>
      <c r="P30" s="52"/>
      <c r="Q30" s="52"/>
      <c r="R30" s="52"/>
      <c r="S30" s="52"/>
      <c r="T30" s="52"/>
      <c r="U30" s="52"/>
      <c r="V30" s="718">
        <f t="shared" si="13"/>
        <v>29400</v>
      </c>
      <c r="W30" s="718">
        <f t="shared" si="14"/>
        <v>0</v>
      </c>
      <c r="X30" s="43">
        <f t="shared" si="16"/>
        <v>29400</v>
      </c>
      <c r="Y30" s="43">
        <f t="shared" si="17"/>
        <v>600</v>
      </c>
      <c r="Z30" s="43">
        <f>F30-X30</f>
        <v>600</v>
      </c>
    </row>
    <row r="31" spans="1:26" s="21" customFormat="1" ht="16.5" x14ac:dyDescent="0.3">
      <c r="A31" s="305" t="s">
        <v>298</v>
      </c>
      <c r="B31" s="294"/>
      <c r="C31" s="306">
        <f>SUM(C28:C30)</f>
        <v>330000</v>
      </c>
      <c r="D31" s="306">
        <f>SUM(D28:D30)</f>
        <v>-45000</v>
      </c>
      <c r="E31" s="306">
        <f>SUM(E28:E30)</f>
        <v>0</v>
      </c>
      <c r="F31" s="306">
        <f t="shared" ref="F31:Z31" si="18">SUM(F28:F30)</f>
        <v>285000</v>
      </c>
      <c r="G31" s="306">
        <f t="shared" si="18"/>
        <v>330000</v>
      </c>
      <c r="H31" s="306">
        <f t="shared" si="18"/>
        <v>285000</v>
      </c>
      <c r="I31" s="306">
        <f t="shared" si="18"/>
        <v>285000</v>
      </c>
      <c r="J31" s="306">
        <f t="shared" si="18"/>
        <v>0</v>
      </c>
      <c r="K31" s="306">
        <f t="shared" si="18"/>
        <v>0</v>
      </c>
      <c r="L31" s="306">
        <f t="shared" si="18"/>
        <v>0</v>
      </c>
      <c r="M31" s="306">
        <f t="shared" si="18"/>
        <v>0</v>
      </c>
      <c r="N31" s="306">
        <f t="shared" si="18"/>
        <v>169000</v>
      </c>
      <c r="O31" s="306">
        <f t="shared" si="18"/>
        <v>34900</v>
      </c>
      <c r="P31" s="306">
        <f t="shared" si="18"/>
        <v>0</v>
      </c>
      <c r="Q31" s="306">
        <f t="shared" si="18"/>
        <v>49800</v>
      </c>
      <c r="R31" s="306">
        <f t="shared" si="18"/>
        <v>0</v>
      </c>
      <c r="S31" s="306">
        <f t="shared" si="18"/>
        <v>0</v>
      </c>
      <c r="T31" s="306">
        <f t="shared" si="18"/>
        <v>0</v>
      </c>
      <c r="U31" s="306">
        <f t="shared" si="18"/>
        <v>0</v>
      </c>
      <c r="V31" s="306">
        <f t="shared" si="18"/>
        <v>253700</v>
      </c>
      <c r="W31" s="306">
        <f t="shared" si="18"/>
        <v>0</v>
      </c>
      <c r="X31" s="306">
        <f t="shared" si="18"/>
        <v>253700</v>
      </c>
      <c r="Y31" s="306">
        <f t="shared" si="18"/>
        <v>31300</v>
      </c>
      <c r="Z31" s="306">
        <f t="shared" si="18"/>
        <v>31300</v>
      </c>
    </row>
    <row r="32" spans="1:26" s="37" customFormat="1" ht="16.5" x14ac:dyDescent="0.3">
      <c r="A32" s="307" t="s">
        <v>345</v>
      </c>
      <c r="B32" s="294"/>
      <c r="C32" s="308">
        <f>C25+C31</f>
        <v>753500</v>
      </c>
      <c r="D32" s="843">
        <f>D25+D31</f>
        <v>0</v>
      </c>
      <c r="E32" s="843">
        <f>E25+E31</f>
        <v>5060</v>
      </c>
      <c r="F32" s="308">
        <f t="shared" ref="F32:Z32" si="19">F25+F31</f>
        <v>758560</v>
      </c>
      <c r="G32" s="308">
        <f t="shared" si="19"/>
        <v>685170</v>
      </c>
      <c r="H32" s="308">
        <f t="shared" si="19"/>
        <v>324463.33333333331</v>
      </c>
      <c r="I32" s="308">
        <f t="shared" si="19"/>
        <v>679633.33333333326</v>
      </c>
      <c r="J32" s="308">
        <f t="shared" si="19"/>
        <v>14205.54</v>
      </c>
      <c r="K32" s="308">
        <f t="shared" si="19"/>
        <v>43722.210000000006</v>
      </c>
      <c r="L32" s="308">
        <f t="shared" si="19"/>
        <v>29994.020000000004</v>
      </c>
      <c r="M32" s="308">
        <f t="shared" si="19"/>
        <v>24196</v>
      </c>
      <c r="N32" s="308">
        <f t="shared" si="19"/>
        <v>194416.65</v>
      </c>
      <c r="O32" s="308">
        <f t="shared" si="19"/>
        <v>64898.400000000001</v>
      </c>
      <c r="P32" s="308">
        <f t="shared" si="19"/>
        <v>36983</v>
      </c>
      <c r="Q32" s="308">
        <f t="shared" si="19"/>
        <v>90574.28</v>
      </c>
      <c r="R32" s="308">
        <f t="shared" si="19"/>
        <v>25536.17</v>
      </c>
      <c r="S32" s="308">
        <f t="shared" si="19"/>
        <v>24597</v>
      </c>
      <c r="T32" s="308">
        <f t="shared" si="19"/>
        <v>0</v>
      </c>
      <c r="U32" s="308">
        <f t="shared" si="19"/>
        <v>0</v>
      </c>
      <c r="V32" s="308">
        <f t="shared" si="19"/>
        <v>524526.27</v>
      </c>
      <c r="W32" s="308">
        <f t="shared" si="19"/>
        <v>24597</v>
      </c>
      <c r="X32" s="308">
        <f t="shared" si="19"/>
        <v>549123.27</v>
      </c>
      <c r="Y32" s="308">
        <f t="shared" si="19"/>
        <v>130510.06333333335</v>
      </c>
      <c r="Z32" s="308">
        <f t="shared" si="19"/>
        <v>209436.73</v>
      </c>
    </row>
    <row r="34" spans="1:26" ht="20.25" customHeight="1" x14ac:dyDescent="0.25">
      <c r="A34" t="s">
        <v>354</v>
      </c>
      <c r="B34" s="30"/>
      <c r="C34" s="35"/>
      <c r="D34" s="35"/>
      <c r="E34" s="35"/>
      <c r="F34" s="35"/>
      <c r="G34" s="35"/>
      <c r="H34" s="35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 s="259" t="s">
        <v>357</v>
      </c>
      <c r="Z34"/>
    </row>
    <row r="36" spans="1:26" x14ac:dyDescent="0.25">
      <c r="B36" s="32"/>
      <c r="C36" s="36"/>
      <c r="D36" s="36"/>
      <c r="E36" s="36"/>
      <c r="F36" s="36"/>
      <c r="G36" s="36"/>
      <c r="H36" s="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x14ac:dyDescent="0.25">
      <c r="A37" s="258" t="s">
        <v>355</v>
      </c>
      <c r="B37" s="14"/>
      <c r="C37" s="31"/>
      <c r="D37" s="31"/>
      <c r="E37" s="31"/>
      <c r="F37" s="31"/>
      <c r="G37" s="31"/>
      <c r="H37" s="31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 s="260" t="s">
        <v>358</v>
      </c>
      <c r="Z37"/>
    </row>
    <row r="38" spans="1:26" x14ac:dyDescent="0.25">
      <c r="A38" s="259" t="s">
        <v>356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 s="259" t="s">
        <v>359</v>
      </c>
      <c r="Z38"/>
    </row>
  </sheetData>
  <mergeCells count="3">
    <mergeCell ref="A1:Z1"/>
    <mergeCell ref="A2:Z2"/>
    <mergeCell ref="A3:Z3"/>
  </mergeCells>
  <printOptions horizontalCentered="1" verticalCentered="1"/>
  <pageMargins left="0.94685039400000004" right="0.25" top="0.35433070866141703" bottom="0.15748031496063" header="0.36811023599999998" footer="0.36811023599999998"/>
  <pageSetup paperSize="5" scale="70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48"/>
  <sheetViews>
    <sheetView view="pageBreakPreview" topLeftCell="A87" zoomScale="98" zoomScaleNormal="87" zoomScaleSheetLayoutView="98" workbookViewId="0">
      <pane xSplit="1" topLeftCell="K1" activePane="topRight" state="frozen"/>
      <selection pane="topRight" activeCell="Z102" sqref="Z102"/>
    </sheetView>
  </sheetViews>
  <sheetFormatPr defaultRowHeight="15" outlineLevelCol="1" x14ac:dyDescent="0.25"/>
  <cols>
    <col min="1" max="1" width="45.5703125" style="21" customWidth="1"/>
    <col min="2" max="2" width="12.7109375" style="21" customWidth="1"/>
    <col min="3" max="3" width="13.85546875" style="21" customWidth="1"/>
    <col min="4" max="7" width="13.85546875" style="987" customWidth="1"/>
    <col min="8" max="8" width="13.42578125" style="21" customWidth="1"/>
    <col min="9" max="10" width="15.28515625" style="21" customWidth="1"/>
    <col min="11" max="11" width="12.5703125" style="21" customWidth="1"/>
    <col min="12" max="12" width="13.28515625" style="303" hidden="1" customWidth="1" outlineLevel="1"/>
    <col min="13" max="13" width="14.85546875" style="303" hidden="1" customWidth="1" outlineLevel="1"/>
    <col min="14" max="14" width="13.85546875" style="303" hidden="1" customWidth="1" outlineLevel="1"/>
    <col min="15" max="15" width="14.85546875" style="303" hidden="1" customWidth="1" outlineLevel="1"/>
    <col min="16" max="16" width="15" style="303" hidden="1" customWidth="1" outlineLevel="1"/>
    <col min="17" max="17" width="12.85546875" style="303" hidden="1" customWidth="1" outlineLevel="1"/>
    <col min="18" max="18" width="13.42578125" style="303" hidden="1" customWidth="1" outlineLevel="1"/>
    <col min="19" max="19" width="16.85546875" style="303" hidden="1" customWidth="1" outlineLevel="1"/>
    <col min="20" max="20" width="14.5703125" style="303" hidden="1" customWidth="1" outlineLevel="1"/>
    <col min="21" max="21" width="17.42578125" style="21" hidden="1" customWidth="1" outlineLevel="1"/>
    <col min="22" max="22" width="11" style="21" hidden="1" customWidth="1" outlineLevel="1"/>
    <col min="23" max="23" width="12.140625" style="21" hidden="1" customWidth="1" outlineLevel="1"/>
    <col min="24" max="24" width="14.28515625" style="21" customWidth="1" collapsed="1"/>
    <col min="25" max="27" width="12.7109375" style="21" customWidth="1"/>
    <col min="28" max="28" width="13.42578125" style="1090" customWidth="1"/>
    <col min="29" max="16384" width="9.140625" style="21"/>
  </cols>
  <sheetData>
    <row r="1" spans="1:29" x14ac:dyDescent="0.25">
      <c r="A1" s="1432" t="s">
        <v>352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1432"/>
      <c r="M1" s="1432"/>
      <c r="N1" s="1432"/>
      <c r="O1" s="1432"/>
      <c r="P1" s="1432"/>
      <c r="Q1" s="1432"/>
      <c r="R1" s="1432"/>
      <c r="S1" s="1432"/>
      <c r="T1" s="1432"/>
      <c r="U1" s="1432"/>
      <c r="V1" s="1432"/>
      <c r="W1" s="1432"/>
      <c r="X1" s="1432"/>
      <c r="Y1" s="1432"/>
      <c r="Z1" s="1432"/>
      <c r="AA1" s="1432"/>
      <c r="AB1" s="1432"/>
    </row>
    <row r="2" spans="1:29" x14ac:dyDescent="0.25">
      <c r="A2" s="1432" t="s">
        <v>353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1432"/>
      <c r="Y2" s="1432"/>
      <c r="Z2" s="1432"/>
      <c r="AA2" s="1432"/>
      <c r="AB2" s="1432"/>
    </row>
    <row r="3" spans="1:29" ht="15.75" thickBot="1" x14ac:dyDescent="0.3">
      <c r="A3" s="1433" t="str">
        <f>'4411-MHO'!A3:AF3</f>
        <v>For the Period October 1-31, 2021</v>
      </c>
      <c r="B3" s="1433"/>
      <c r="C3" s="1433"/>
      <c r="D3" s="1433"/>
      <c r="E3" s="1433"/>
      <c r="F3" s="1433"/>
      <c r="G3" s="1433"/>
      <c r="H3" s="1433"/>
      <c r="I3" s="1433"/>
      <c r="J3" s="1433"/>
      <c r="K3" s="1433"/>
      <c r="L3" s="1433"/>
      <c r="M3" s="1433"/>
      <c r="N3" s="1433"/>
      <c r="O3" s="1433"/>
      <c r="P3" s="1433"/>
      <c r="Q3" s="1433"/>
      <c r="R3" s="1433"/>
      <c r="S3" s="1433"/>
      <c r="T3" s="1433"/>
      <c r="U3" s="1433"/>
      <c r="V3" s="1433"/>
      <c r="W3" s="1433"/>
      <c r="X3" s="1433"/>
      <c r="Y3" s="1433"/>
      <c r="Z3" s="1433"/>
      <c r="AA3" s="1433"/>
      <c r="AB3" s="1433"/>
    </row>
    <row r="4" spans="1:29" ht="27" thickTop="1" x14ac:dyDescent="0.25">
      <c r="A4" s="38" t="s">
        <v>347</v>
      </c>
      <c r="B4" s="38" t="s">
        <v>2</v>
      </c>
      <c r="C4" s="38" t="s">
        <v>133</v>
      </c>
      <c r="D4" s="1073" t="s">
        <v>1204</v>
      </c>
      <c r="E4" s="1073" t="s">
        <v>1204</v>
      </c>
      <c r="F4" s="1073" t="s">
        <v>1204</v>
      </c>
      <c r="G4" s="1073" t="s">
        <v>1204</v>
      </c>
      <c r="H4" s="38" t="s">
        <v>1</v>
      </c>
      <c r="I4" s="38" t="s">
        <v>316</v>
      </c>
      <c r="J4" s="38" t="s">
        <v>314</v>
      </c>
      <c r="K4" s="41" t="s">
        <v>346</v>
      </c>
      <c r="L4" s="39"/>
      <c r="M4" s="39"/>
      <c r="N4" s="39"/>
      <c r="O4" s="39"/>
      <c r="P4" s="990"/>
      <c r="Q4" s="990"/>
      <c r="R4" s="990"/>
      <c r="S4" s="990"/>
      <c r="T4" s="990"/>
      <c r="U4" s="109"/>
      <c r="V4" s="109"/>
      <c r="W4" s="109"/>
      <c r="X4" s="41" t="s">
        <v>316</v>
      </c>
      <c r="Y4" s="41" t="s">
        <v>348</v>
      </c>
      <c r="Z4" s="41" t="s">
        <v>1</v>
      </c>
      <c r="AA4" s="41" t="s">
        <v>131</v>
      </c>
      <c r="AB4" s="318" t="s">
        <v>131</v>
      </c>
    </row>
    <row r="5" spans="1:29" x14ac:dyDescent="0.25">
      <c r="A5" s="71"/>
      <c r="B5" s="71" t="s">
        <v>3</v>
      </c>
      <c r="C5" s="71" t="s">
        <v>134</v>
      </c>
      <c r="D5" s="1009" t="s">
        <v>1397</v>
      </c>
      <c r="E5" s="1009" t="s">
        <v>1354</v>
      </c>
      <c r="F5" s="1009" t="s">
        <v>1329</v>
      </c>
      <c r="G5" s="1009" t="s">
        <v>1184</v>
      </c>
      <c r="H5" s="71" t="s">
        <v>314</v>
      </c>
      <c r="I5" s="71" t="s">
        <v>314</v>
      </c>
      <c r="J5" s="71" t="s">
        <v>315</v>
      </c>
      <c r="K5" s="74" t="s">
        <v>315</v>
      </c>
      <c r="L5" s="74" t="s">
        <v>0</v>
      </c>
      <c r="M5" s="74" t="s">
        <v>120</v>
      </c>
      <c r="N5" s="74" t="s">
        <v>121</v>
      </c>
      <c r="O5" s="74" t="s">
        <v>122</v>
      </c>
      <c r="P5" s="74" t="s">
        <v>123</v>
      </c>
      <c r="Q5" s="74" t="s">
        <v>124</v>
      </c>
      <c r="R5" s="74" t="s">
        <v>125</v>
      </c>
      <c r="S5" s="74" t="s">
        <v>126</v>
      </c>
      <c r="T5" s="74" t="s">
        <v>127</v>
      </c>
      <c r="U5" s="74" t="s">
        <v>128</v>
      </c>
      <c r="V5" s="74" t="s">
        <v>129</v>
      </c>
      <c r="W5" s="74" t="s">
        <v>130</v>
      </c>
      <c r="X5" s="74" t="s">
        <v>317</v>
      </c>
      <c r="Y5" s="74" t="s">
        <v>315</v>
      </c>
      <c r="Z5" s="74" t="s">
        <v>317</v>
      </c>
      <c r="AA5" s="74" t="s">
        <v>314</v>
      </c>
      <c r="AB5" s="1032" t="s">
        <v>132</v>
      </c>
    </row>
    <row r="6" spans="1:29" x14ac:dyDescent="0.25">
      <c r="A6" s="294" t="s">
        <v>1164</v>
      </c>
      <c r="B6" s="937"/>
      <c r="C6" s="937"/>
      <c r="D6" s="937"/>
      <c r="E6" s="937"/>
      <c r="F6" s="937"/>
      <c r="G6" s="937"/>
      <c r="H6" s="937"/>
      <c r="I6" s="937"/>
      <c r="J6" s="937"/>
      <c r="K6" s="937"/>
      <c r="L6" s="695"/>
      <c r="M6" s="997"/>
      <c r="N6" s="997"/>
      <c r="O6" s="997"/>
      <c r="P6" s="997"/>
      <c r="Q6" s="997"/>
      <c r="R6" s="997"/>
      <c r="S6" s="997"/>
      <c r="T6" s="997"/>
      <c r="U6" s="937"/>
      <c r="V6" s="937"/>
      <c r="W6" s="937"/>
      <c r="X6" s="937"/>
      <c r="Y6" s="937"/>
      <c r="Z6" s="937"/>
      <c r="AA6" s="937"/>
      <c r="AB6" s="1229"/>
    </row>
    <row r="7" spans="1:29" x14ac:dyDescent="0.25">
      <c r="A7" s="732" t="s">
        <v>712</v>
      </c>
      <c r="B7" s="676"/>
      <c r="C7" s="862"/>
      <c r="D7" s="862"/>
      <c r="E7" s="862"/>
      <c r="F7" s="862"/>
      <c r="G7" s="862"/>
      <c r="H7" s="862"/>
      <c r="I7" s="862"/>
      <c r="J7" s="862"/>
      <c r="K7" s="937"/>
      <c r="L7" s="695"/>
      <c r="M7" s="997"/>
      <c r="N7" s="997"/>
      <c r="O7" s="997"/>
      <c r="P7" s="997"/>
      <c r="Q7" s="997"/>
      <c r="R7" s="997"/>
      <c r="S7" s="997"/>
      <c r="T7" s="997"/>
      <c r="U7" s="937"/>
      <c r="V7" s="937"/>
      <c r="W7" s="937"/>
      <c r="X7" s="937"/>
      <c r="Y7" s="937"/>
      <c r="Z7" s="732"/>
      <c r="AA7" s="716"/>
      <c r="AB7" s="1229"/>
    </row>
    <row r="8" spans="1:29" x14ac:dyDescent="0.25">
      <c r="A8" s="511" t="s">
        <v>659</v>
      </c>
      <c r="B8" s="502"/>
      <c r="C8" s="720"/>
      <c r="D8" s="720"/>
      <c r="E8" s="720"/>
      <c r="F8" s="720"/>
      <c r="G8" s="720"/>
      <c r="H8" s="720"/>
      <c r="I8" s="720"/>
      <c r="J8" s="720"/>
      <c r="K8" s="716"/>
      <c r="L8" s="695"/>
      <c r="M8" s="997"/>
      <c r="N8" s="997"/>
      <c r="O8" s="997"/>
      <c r="P8" s="997"/>
      <c r="Q8" s="997"/>
      <c r="R8" s="997"/>
      <c r="S8" s="997"/>
      <c r="T8" s="997"/>
      <c r="U8" s="937"/>
      <c r="V8" s="937"/>
      <c r="W8" s="937"/>
      <c r="X8" s="937"/>
      <c r="Y8" s="695">
        <f>L8</f>
        <v>0</v>
      </c>
      <c r="Z8" s="716">
        <f>X8+Y8</f>
        <v>0</v>
      </c>
      <c r="AA8" s="716">
        <f t="shared" ref="AA8" si="0">K8-Z8</f>
        <v>0</v>
      </c>
      <c r="AB8" s="1230">
        <f>H8-Z8</f>
        <v>0</v>
      </c>
    </row>
    <row r="9" spans="1:29" x14ac:dyDescent="0.25">
      <c r="A9" s="200" t="s">
        <v>660</v>
      </c>
      <c r="B9" s="87" t="s">
        <v>6</v>
      </c>
      <c r="C9" s="40">
        <v>1489532</v>
      </c>
      <c r="D9" s="989"/>
      <c r="E9" s="989"/>
      <c r="F9" s="989"/>
      <c r="G9" s="989"/>
      <c r="H9" s="720">
        <f>SUM(C9:G9)</f>
        <v>1489532</v>
      </c>
      <c r="I9" s="52">
        <f>H9/12*9</f>
        <v>1117149</v>
      </c>
      <c r="J9" s="52">
        <f>H9/12</f>
        <v>124127.66666666667</v>
      </c>
      <c r="K9" s="40">
        <f t="shared" ref="K9" si="1">I9+J9</f>
        <v>1241276.6666666667</v>
      </c>
      <c r="L9" s="265">
        <v>120850</v>
      </c>
      <c r="M9" s="997">
        <v>120850</v>
      </c>
      <c r="N9" s="997">
        <v>120850</v>
      </c>
      <c r="O9" s="997">
        <f>62030.5*2+9633</f>
        <v>133694</v>
      </c>
      <c r="P9" s="997">
        <f>61858.61+62080.5</f>
        <v>123939.11</v>
      </c>
      <c r="Q9" s="997">
        <v>124161</v>
      </c>
      <c r="R9" s="997">
        <v>124161</v>
      </c>
      <c r="S9" s="997">
        <v>124161</v>
      </c>
      <c r="T9" s="997">
        <v>124161</v>
      </c>
      <c r="U9" s="997">
        <v>124161</v>
      </c>
      <c r="V9" s="188"/>
      <c r="W9" s="188"/>
      <c r="X9" s="996">
        <f>L9+M9+N9+O9+P9+Q9+R9+S9+T9</f>
        <v>1116827.1099999999</v>
      </c>
      <c r="Y9" s="997">
        <f>U9</f>
        <v>124161</v>
      </c>
      <c r="Z9" s="989">
        <f>X9+Y9</f>
        <v>1240988.1099999999</v>
      </c>
      <c r="AA9" s="989">
        <f>K9-Z9</f>
        <v>288.55666666687466</v>
      </c>
      <c r="AB9" s="1230">
        <f t="shared" ref="AB9" si="2">H9-Z9</f>
        <v>248543.89000000013</v>
      </c>
    </row>
    <row r="10" spans="1:29" x14ac:dyDescent="0.25">
      <c r="A10" s="511" t="s">
        <v>661</v>
      </c>
      <c r="B10" s="87"/>
      <c r="C10" s="40"/>
      <c r="D10" s="989"/>
      <c r="E10" s="989"/>
      <c r="F10" s="989"/>
      <c r="G10" s="989"/>
      <c r="H10" s="720">
        <f t="shared" ref="H10:H29" si="3">SUM(C10:G10)</f>
        <v>0</v>
      </c>
      <c r="I10" s="720">
        <f t="shared" ref="I10:I29" si="4">H10/12*9</f>
        <v>0</v>
      </c>
      <c r="J10" s="720">
        <f t="shared" ref="J10:J29" si="5">H10/12</f>
        <v>0</v>
      </c>
      <c r="K10" s="989">
        <f t="shared" ref="K10:K29" si="6">I10+J10</f>
        <v>0</v>
      </c>
      <c r="L10" s="265"/>
      <c r="M10" s="997"/>
      <c r="N10" s="997"/>
      <c r="O10" s="997"/>
      <c r="P10" s="997"/>
      <c r="Q10" s="997"/>
      <c r="R10" s="997"/>
      <c r="S10" s="997"/>
      <c r="T10" s="997"/>
      <c r="U10" s="188"/>
      <c r="V10" s="188"/>
      <c r="W10" s="188"/>
      <c r="X10" s="996">
        <f t="shared" ref="X10:X29" si="7">L10+M10+N10+O10+P10+Q10+R10+S10+T10</f>
        <v>0</v>
      </c>
      <c r="Y10" s="997">
        <f t="shared" ref="Y10:Y29" si="8">U10</f>
        <v>0</v>
      </c>
      <c r="Z10" s="989">
        <f t="shared" ref="Z10:Z24" si="9">X10+Y10</f>
        <v>0</v>
      </c>
      <c r="AA10" s="989">
        <f t="shared" ref="AA10:AA24" si="10">K10-Z10</f>
        <v>0</v>
      </c>
      <c r="AB10" s="1230">
        <f t="shared" ref="AB10:AB24" si="11">H10-Z10</f>
        <v>0</v>
      </c>
    </row>
    <row r="11" spans="1:29" x14ac:dyDescent="0.25">
      <c r="A11" s="200" t="s">
        <v>662</v>
      </c>
      <c r="B11" s="169" t="s">
        <v>11</v>
      </c>
      <c r="C11" s="52">
        <v>72000</v>
      </c>
      <c r="D11" s="720"/>
      <c r="E11" s="720"/>
      <c r="F11" s="720"/>
      <c r="G11" s="720"/>
      <c r="H11" s="720">
        <f t="shared" si="3"/>
        <v>72000</v>
      </c>
      <c r="I11" s="720">
        <f t="shared" si="4"/>
        <v>54000</v>
      </c>
      <c r="J11" s="720">
        <f t="shared" si="5"/>
        <v>6000</v>
      </c>
      <c r="K11" s="989">
        <f t="shared" si="6"/>
        <v>60000</v>
      </c>
      <c r="L11" s="265">
        <v>6000</v>
      </c>
      <c r="M11" s="997">
        <v>6000</v>
      </c>
      <c r="N11" s="997">
        <v>6000</v>
      </c>
      <c r="O11" s="997">
        <v>6000</v>
      </c>
      <c r="P11" s="997">
        <v>6000</v>
      </c>
      <c r="Q11" s="997">
        <v>6000</v>
      </c>
      <c r="R11" s="997">
        <v>6000</v>
      </c>
      <c r="S11" s="997">
        <v>6000</v>
      </c>
      <c r="T11" s="997">
        <v>6000</v>
      </c>
      <c r="U11" s="997">
        <v>6000</v>
      </c>
      <c r="V11" s="188"/>
      <c r="W11" s="188"/>
      <c r="X11" s="996">
        <f t="shared" si="7"/>
        <v>54000</v>
      </c>
      <c r="Y11" s="997">
        <f t="shared" si="8"/>
        <v>6000</v>
      </c>
      <c r="Z11" s="989">
        <f t="shared" si="9"/>
        <v>60000</v>
      </c>
      <c r="AA11" s="989">
        <f t="shared" si="10"/>
        <v>0</v>
      </c>
      <c r="AB11" s="1230">
        <f t="shared" si="11"/>
        <v>12000</v>
      </c>
    </row>
    <row r="12" spans="1:29" x14ac:dyDescent="0.25">
      <c r="A12" s="200" t="s">
        <v>663</v>
      </c>
      <c r="B12" s="87" t="s">
        <v>13</v>
      </c>
      <c r="C12" s="52">
        <v>72000</v>
      </c>
      <c r="D12" s="720"/>
      <c r="E12" s="720"/>
      <c r="F12" s="720"/>
      <c r="G12" s="720"/>
      <c r="H12" s="720">
        <f t="shared" si="3"/>
        <v>72000</v>
      </c>
      <c r="I12" s="720">
        <f t="shared" si="4"/>
        <v>54000</v>
      </c>
      <c r="J12" s="720">
        <f t="shared" si="5"/>
        <v>6000</v>
      </c>
      <c r="K12" s="989">
        <f t="shared" si="6"/>
        <v>60000</v>
      </c>
      <c r="L12" s="265">
        <v>6000</v>
      </c>
      <c r="M12" s="997">
        <v>6000</v>
      </c>
      <c r="N12" s="997">
        <v>6000</v>
      </c>
      <c r="O12" s="997">
        <v>6000</v>
      </c>
      <c r="P12" s="997">
        <v>6000</v>
      </c>
      <c r="Q12" s="997">
        <v>6000</v>
      </c>
      <c r="R12" s="997">
        <v>6000</v>
      </c>
      <c r="S12" s="997">
        <v>6000</v>
      </c>
      <c r="T12" s="997">
        <v>6000</v>
      </c>
      <c r="U12" s="997">
        <v>6000</v>
      </c>
      <c r="V12" s="188"/>
      <c r="W12" s="188"/>
      <c r="X12" s="996">
        <f t="shared" si="7"/>
        <v>54000</v>
      </c>
      <c r="Y12" s="997">
        <f t="shared" si="8"/>
        <v>6000</v>
      </c>
      <c r="Z12" s="989">
        <f t="shared" si="9"/>
        <v>60000</v>
      </c>
      <c r="AA12" s="989">
        <f t="shared" si="10"/>
        <v>0</v>
      </c>
      <c r="AB12" s="1230">
        <f t="shared" si="11"/>
        <v>12000</v>
      </c>
    </row>
    <row r="13" spans="1:29" x14ac:dyDescent="0.25">
      <c r="A13" s="200" t="s">
        <v>664</v>
      </c>
      <c r="B13" s="186" t="s">
        <v>15</v>
      </c>
      <c r="C13" s="52">
        <v>72000</v>
      </c>
      <c r="D13" s="720"/>
      <c r="E13" s="720"/>
      <c r="F13" s="720"/>
      <c r="G13" s="720"/>
      <c r="H13" s="720">
        <f t="shared" si="3"/>
        <v>72000</v>
      </c>
      <c r="I13" s="720">
        <f t="shared" si="4"/>
        <v>54000</v>
      </c>
      <c r="J13" s="720">
        <f t="shared" si="5"/>
        <v>6000</v>
      </c>
      <c r="K13" s="989">
        <f t="shared" si="6"/>
        <v>60000</v>
      </c>
      <c r="L13" s="265">
        <v>6000</v>
      </c>
      <c r="M13" s="997">
        <v>6000</v>
      </c>
      <c r="N13" s="997">
        <v>6000</v>
      </c>
      <c r="O13" s="997">
        <v>6000</v>
      </c>
      <c r="P13" s="997">
        <v>6000</v>
      </c>
      <c r="Q13" s="997">
        <v>6000</v>
      </c>
      <c r="R13" s="997">
        <v>6000</v>
      </c>
      <c r="S13" s="997">
        <v>6000</v>
      </c>
      <c r="T13" s="997">
        <v>6000</v>
      </c>
      <c r="U13" s="997">
        <v>6000</v>
      </c>
      <c r="V13" s="188"/>
      <c r="W13" s="188"/>
      <c r="X13" s="996">
        <f t="shared" si="7"/>
        <v>54000</v>
      </c>
      <c r="Y13" s="997">
        <f t="shared" si="8"/>
        <v>6000</v>
      </c>
      <c r="Z13" s="989">
        <f t="shared" si="9"/>
        <v>60000</v>
      </c>
      <c r="AA13" s="989">
        <f t="shared" si="10"/>
        <v>0</v>
      </c>
      <c r="AB13" s="1230">
        <f t="shared" si="11"/>
        <v>12000</v>
      </c>
    </row>
    <row r="14" spans="1:29" x14ac:dyDescent="0.25">
      <c r="A14" s="200" t="s">
        <v>665</v>
      </c>
      <c r="B14" s="169" t="s">
        <v>17</v>
      </c>
      <c r="C14" s="52">
        <v>18000</v>
      </c>
      <c r="D14" s="720"/>
      <c r="E14" s="720"/>
      <c r="F14" s="720"/>
      <c r="G14" s="720"/>
      <c r="H14" s="720">
        <f t="shared" si="3"/>
        <v>18000</v>
      </c>
      <c r="I14" s="720">
        <f>H14/12*11</f>
        <v>16500</v>
      </c>
      <c r="J14" s="720">
        <f t="shared" si="5"/>
        <v>1500</v>
      </c>
      <c r="K14" s="989">
        <f t="shared" si="6"/>
        <v>18000</v>
      </c>
      <c r="L14" s="265">
        <v>12000</v>
      </c>
      <c r="M14" s="997"/>
      <c r="N14" s="997"/>
      <c r="O14" s="997"/>
      <c r="P14" s="997"/>
      <c r="Q14" s="997"/>
      <c r="R14" s="997"/>
      <c r="S14" s="997"/>
      <c r="T14" s="997"/>
      <c r="U14" s="1292">
        <v>2475</v>
      </c>
      <c r="V14" s="188"/>
      <c r="W14" s="188"/>
      <c r="X14" s="996">
        <f t="shared" si="7"/>
        <v>12000</v>
      </c>
      <c r="Y14" s="997">
        <f t="shared" si="8"/>
        <v>2475</v>
      </c>
      <c r="Z14" s="989">
        <f t="shared" si="9"/>
        <v>14475</v>
      </c>
      <c r="AA14" s="989">
        <f t="shared" si="10"/>
        <v>3525</v>
      </c>
      <c r="AB14" s="1230">
        <f t="shared" si="11"/>
        <v>3525</v>
      </c>
      <c r="AC14" s="21" t="s">
        <v>1386</v>
      </c>
    </row>
    <row r="15" spans="1:29" x14ac:dyDescent="0.25">
      <c r="A15" s="200" t="s">
        <v>666</v>
      </c>
      <c r="B15" s="169" t="s">
        <v>21</v>
      </c>
      <c r="C15" s="52">
        <v>133000</v>
      </c>
      <c r="D15" s="720"/>
      <c r="E15" s="720"/>
      <c r="F15" s="720"/>
      <c r="G15" s="720"/>
      <c r="H15" s="720">
        <f t="shared" si="3"/>
        <v>133000</v>
      </c>
      <c r="I15" s="720">
        <f t="shared" si="4"/>
        <v>99750</v>
      </c>
      <c r="J15" s="720">
        <f t="shared" si="5"/>
        <v>11083.333333333334</v>
      </c>
      <c r="K15" s="989">
        <f t="shared" si="6"/>
        <v>110833.33333333333</v>
      </c>
      <c r="L15" s="265"/>
      <c r="M15" s="997"/>
      <c r="N15" s="997"/>
      <c r="O15" s="997"/>
      <c r="P15" s="997"/>
      <c r="Q15" s="997"/>
      <c r="R15" s="997">
        <f>55500.5+22200</f>
        <v>77700.5</v>
      </c>
      <c r="S15" s="997">
        <v>2483.2199999999998</v>
      </c>
      <c r="T15" s="997">
        <v>11100.1</v>
      </c>
      <c r="U15" s="1291">
        <v>11100.1</v>
      </c>
      <c r="V15" s="188"/>
      <c r="W15" s="188"/>
      <c r="X15" s="996">
        <f t="shared" si="7"/>
        <v>91283.82</v>
      </c>
      <c r="Y15" s="997">
        <f t="shared" si="8"/>
        <v>11100.1</v>
      </c>
      <c r="Z15" s="989">
        <f t="shared" si="9"/>
        <v>102383.92000000001</v>
      </c>
      <c r="AA15" s="989">
        <f t="shared" si="10"/>
        <v>8449.4133333333157</v>
      </c>
      <c r="AB15" s="1230">
        <f t="shared" si="11"/>
        <v>30616.079999999987</v>
      </c>
    </row>
    <row r="16" spans="1:29" x14ac:dyDescent="0.25">
      <c r="A16" s="200" t="s">
        <v>667</v>
      </c>
      <c r="B16" s="87" t="s">
        <v>23</v>
      </c>
      <c r="C16" s="40">
        <v>124161</v>
      </c>
      <c r="D16" s="989"/>
      <c r="E16" s="989"/>
      <c r="F16" s="989"/>
      <c r="G16" s="989"/>
      <c r="H16" s="720">
        <f t="shared" si="3"/>
        <v>124161</v>
      </c>
      <c r="I16" s="720">
        <f t="shared" si="4"/>
        <v>93120.75</v>
      </c>
      <c r="J16" s="720">
        <f t="shared" si="5"/>
        <v>10346.75</v>
      </c>
      <c r="K16" s="989">
        <f t="shared" si="6"/>
        <v>103467.5</v>
      </c>
      <c r="L16" s="265"/>
      <c r="M16" s="997"/>
      <c r="N16" s="997"/>
      <c r="O16" s="997"/>
      <c r="P16" s="997"/>
      <c r="Q16" s="997"/>
      <c r="R16" s="997"/>
      <c r="S16" s="997"/>
      <c r="T16" s="997"/>
      <c r="U16" s="188"/>
      <c r="V16" s="188"/>
      <c r="W16" s="188"/>
      <c r="X16" s="996">
        <f t="shared" si="7"/>
        <v>0</v>
      </c>
      <c r="Y16" s="997">
        <f t="shared" si="8"/>
        <v>0</v>
      </c>
      <c r="Z16" s="989">
        <f t="shared" si="9"/>
        <v>0</v>
      </c>
      <c r="AA16" s="989">
        <f t="shared" si="10"/>
        <v>103467.5</v>
      </c>
      <c r="AB16" s="1230">
        <f t="shared" si="11"/>
        <v>124161</v>
      </c>
    </row>
    <row r="17" spans="1:28" x14ac:dyDescent="0.25">
      <c r="A17" s="200" t="s">
        <v>668</v>
      </c>
      <c r="B17" s="87" t="s">
        <v>26</v>
      </c>
      <c r="C17" s="52">
        <v>15000</v>
      </c>
      <c r="D17" s="720"/>
      <c r="E17" s="720"/>
      <c r="F17" s="720"/>
      <c r="G17" s="720"/>
      <c r="H17" s="720">
        <f t="shared" si="3"/>
        <v>15000</v>
      </c>
      <c r="I17" s="720">
        <f t="shared" si="4"/>
        <v>11250</v>
      </c>
      <c r="J17" s="720">
        <f t="shared" si="5"/>
        <v>1250</v>
      </c>
      <c r="K17" s="989">
        <f t="shared" si="6"/>
        <v>12500</v>
      </c>
      <c r="L17" s="265"/>
      <c r="M17" s="997"/>
      <c r="N17" s="997"/>
      <c r="O17" s="997"/>
      <c r="P17" s="997"/>
      <c r="Q17" s="997"/>
      <c r="R17" s="997"/>
      <c r="S17" s="997"/>
      <c r="T17" s="997"/>
      <c r="U17" s="188"/>
      <c r="V17" s="188"/>
      <c r="W17" s="188"/>
      <c r="X17" s="996">
        <f t="shared" si="7"/>
        <v>0</v>
      </c>
      <c r="Y17" s="997">
        <f t="shared" si="8"/>
        <v>0</v>
      </c>
      <c r="Z17" s="989">
        <f t="shared" si="9"/>
        <v>0</v>
      </c>
      <c r="AA17" s="989">
        <f t="shared" si="10"/>
        <v>12500</v>
      </c>
      <c r="AB17" s="1230">
        <f t="shared" si="11"/>
        <v>15000</v>
      </c>
    </row>
    <row r="18" spans="1:28" x14ac:dyDescent="0.25">
      <c r="A18" s="200" t="s">
        <v>669</v>
      </c>
      <c r="B18" s="87" t="s">
        <v>27</v>
      </c>
      <c r="C18" s="52"/>
      <c r="D18" s="720"/>
      <c r="E18" s="720"/>
      <c r="F18" s="720"/>
      <c r="G18" s="720"/>
      <c r="H18" s="720">
        <f t="shared" si="3"/>
        <v>0</v>
      </c>
      <c r="I18" s="720">
        <f t="shared" si="4"/>
        <v>0</v>
      </c>
      <c r="J18" s="720">
        <f t="shared" si="5"/>
        <v>0</v>
      </c>
      <c r="K18" s="989">
        <f t="shared" si="6"/>
        <v>0</v>
      </c>
      <c r="L18" s="265"/>
      <c r="M18" s="997"/>
      <c r="N18" s="997"/>
      <c r="O18" s="997"/>
      <c r="P18" s="997"/>
      <c r="Q18" s="997"/>
      <c r="R18" s="997"/>
      <c r="S18" s="997"/>
      <c r="T18" s="997"/>
      <c r="U18" s="188"/>
      <c r="V18" s="188"/>
      <c r="W18" s="188"/>
      <c r="X18" s="996">
        <f t="shared" si="7"/>
        <v>0</v>
      </c>
      <c r="Y18" s="997">
        <f t="shared" si="8"/>
        <v>0</v>
      </c>
      <c r="Z18" s="989">
        <f t="shared" si="9"/>
        <v>0</v>
      </c>
      <c r="AA18" s="989">
        <f t="shared" si="10"/>
        <v>0</v>
      </c>
      <c r="AB18" s="1230">
        <f t="shared" si="11"/>
        <v>0</v>
      </c>
    </row>
    <row r="19" spans="1:28" x14ac:dyDescent="0.25">
      <c r="A19" s="281" t="s">
        <v>670</v>
      </c>
      <c r="B19" s="54"/>
      <c r="C19" s="52">
        <v>124161</v>
      </c>
      <c r="D19" s="720"/>
      <c r="E19" s="720"/>
      <c r="F19" s="720"/>
      <c r="G19" s="720"/>
      <c r="H19" s="720">
        <f t="shared" si="3"/>
        <v>124161</v>
      </c>
      <c r="I19" s="720">
        <f t="shared" si="4"/>
        <v>93120.75</v>
      </c>
      <c r="J19" s="720">
        <f t="shared" si="5"/>
        <v>10346.75</v>
      </c>
      <c r="K19" s="989">
        <f t="shared" si="6"/>
        <v>103467.5</v>
      </c>
      <c r="L19" s="265"/>
      <c r="M19" s="997"/>
      <c r="N19" s="997"/>
      <c r="O19" s="997"/>
      <c r="P19" s="1165">
        <v>124161</v>
      </c>
      <c r="Q19" s="997"/>
      <c r="R19" s="997"/>
      <c r="S19" s="997"/>
      <c r="T19" s="997"/>
      <c r="U19" s="188"/>
      <c r="V19" s="188"/>
      <c r="W19" s="188"/>
      <c r="X19" s="996">
        <f t="shared" si="7"/>
        <v>124161</v>
      </c>
      <c r="Y19" s="997">
        <f t="shared" si="8"/>
        <v>0</v>
      </c>
      <c r="Z19" s="989">
        <f t="shared" si="9"/>
        <v>124161</v>
      </c>
      <c r="AA19" s="989">
        <f t="shared" si="10"/>
        <v>-20693.5</v>
      </c>
      <c r="AB19" s="1230">
        <f t="shared" si="11"/>
        <v>0</v>
      </c>
    </row>
    <row r="20" spans="1:28" x14ac:dyDescent="0.25">
      <c r="A20" s="281" t="s">
        <v>671</v>
      </c>
      <c r="B20" s="50"/>
      <c r="C20" s="52">
        <v>15000</v>
      </c>
      <c r="D20" s="720"/>
      <c r="E20" s="720"/>
      <c r="F20" s="720"/>
      <c r="G20" s="720"/>
      <c r="H20" s="720">
        <f t="shared" si="3"/>
        <v>15000</v>
      </c>
      <c r="I20" s="720">
        <f t="shared" si="4"/>
        <v>11250</v>
      </c>
      <c r="J20" s="720">
        <f t="shared" si="5"/>
        <v>1250</v>
      </c>
      <c r="K20" s="989">
        <f t="shared" si="6"/>
        <v>12500</v>
      </c>
      <c r="L20" s="265"/>
      <c r="M20" s="997"/>
      <c r="N20" s="997"/>
      <c r="O20" s="997"/>
      <c r="P20" s="997"/>
      <c r="Q20" s="997"/>
      <c r="R20" s="997"/>
      <c r="S20" s="997"/>
      <c r="T20" s="997"/>
      <c r="U20" s="188"/>
      <c r="V20" s="188"/>
      <c r="W20" s="188"/>
      <c r="X20" s="996">
        <f t="shared" si="7"/>
        <v>0</v>
      </c>
      <c r="Y20" s="997">
        <f t="shared" si="8"/>
        <v>0</v>
      </c>
      <c r="Z20" s="989">
        <f t="shared" si="9"/>
        <v>0</v>
      </c>
      <c r="AA20" s="989">
        <f t="shared" si="10"/>
        <v>12500</v>
      </c>
      <c r="AB20" s="1230">
        <f t="shared" si="11"/>
        <v>15000</v>
      </c>
    </row>
    <row r="21" spans="1:28" x14ac:dyDescent="0.25">
      <c r="A21" s="291" t="s">
        <v>832</v>
      </c>
      <c r="B21" s="87"/>
      <c r="C21" s="52"/>
      <c r="D21" s="720"/>
      <c r="E21" s="720"/>
      <c r="F21" s="720"/>
      <c r="G21" s="720"/>
      <c r="H21" s="720">
        <f t="shared" si="3"/>
        <v>0</v>
      </c>
      <c r="I21" s="720">
        <f t="shared" si="4"/>
        <v>0</v>
      </c>
      <c r="J21" s="720">
        <f t="shared" si="5"/>
        <v>0</v>
      </c>
      <c r="K21" s="989">
        <f t="shared" si="6"/>
        <v>0</v>
      </c>
      <c r="L21" s="265"/>
      <c r="M21" s="997"/>
      <c r="N21" s="997"/>
      <c r="O21" s="997"/>
      <c r="P21" s="997"/>
      <c r="Q21" s="997"/>
      <c r="R21" s="997"/>
      <c r="S21" s="997"/>
      <c r="T21" s="997"/>
      <c r="U21" s="188"/>
      <c r="V21" s="188"/>
      <c r="W21" s="188"/>
      <c r="X21" s="996">
        <f t="shared" si="7"/>
        <v>0</v>
      </c>
      <c r="Y21" s="997">
        <f t="shared" si="8"/>
        <v>0</v>
      </c>
      <c r="Z21" s="989">
        <f t="shared" si="9"/>
        <v>0</v>
      </c>
      <c r="AA21" s="989">
        <f t="shared" si="10"/>
        <v>0</v>
      </c>
      <c r="AB21" s="1230">
        <f t="shared" si="11"/>
        <v>0</v>
      </c>
    </row>
    <row r="22" spans="1:28" x14ac:dyDescent="0.25">
      <c r="A22" s="291" t="s">
        <v>673</v>
      </c>
      <c r="B22" s="87"/>
      <c r="C22" s="52"/>
      <c r="D22" s="720"/>
      <c r="E22" s="720"/>
      <c r="F22" s="720"/>
      <c r="G22" s="720"/>
      <c r="H22" s="720">
        <f t="shared" si="3"/>
        <v>0</v>
      </c>
      <c r="I22" s="720">
        <f t="shared" si="4"/>
        <v>0</v>
      </c>
      <c r="J22" s="720">
        <f t="shared" si="5"/>
        <v>0</v>
      </c>
      <c r="K22" s="989">
        <f t="shared" si="6"/>
        <v>0</v>
      </c>
      <c r="L22" s="265"/>
      <c r="M22" s="997"/>
      <c r="N22" s="997"/>
      <c r="O22" s="997"/>
      <c r="P22" s="997"/>
      <c r="Q22" s="997"/>
      <c r="R22" s="997"/>
      <c r="S22" s="997"/>
      <c r="T22" s="997"/>
      <c r="U22" s="188"/>
      <c r="V22" s="188"/>
      <c r="W22" s="188"/>
      <c r="X22" s="996">
        <f t="shared" si="7"/>
        <v>0</v>
      </c>
      <c r="Y22" s="997">
        <f t="shared" si="8"/>
        <v>0</v>
      </c>
      <c r="Z22" s="989">
        <f t="shared" si="9"/>
        <v>0</v>
      </c>
      <c r="AA22" s="989">
        <f t="shared" si="10"/>
        <v>0</v>
      </c>
      <c r="AB22" s="1230">
        <f t="shared" si="11"/>
        <v>0</v>
      </c>
    </row>
    <row r="23" spans="1:28" x14ac:dyDescent="0.25">
      <c r="A23" s="291" t="s">
        <v>674</v>
      </c>
      <c r="B23" s="87"/>
      <c r="C23" s="52"/>
      <c r="D23" s="720"/>
      <c r="E23" s="720"/>
      <c r="F23" s="720"/>
      <c r="G23" s="720"/>
      <c r="H23" s="720">
        <f t="shared" si="3"/>
        <v>0</v>
      </c>
      <c r="I23" s="720">
        <f t="shared" si="4"/>
        <v>0</v>
      </c>
      <c r="J23" s="720">
        <f t="shared" si="5"/>
        <v>0</v>
      </c>
      <c r="K23" s="989">
        <f t="shared" si="6"/>
        <v>0</v>
      </c>
      <c r="L23" s="265"/>
      <c r="M23" s="997"/>
      <c r="N23" s="997"/>
      <c r="O23" s="997"/>
      <c r="P23" s="997"/>
      <c r="Q23" s="1190"/>
      <c r="R23" s="997"/>
      <c r="S23" s="997"/>
      <c r="T23" s="997"/>
      <c r="U23" s="188"/>
      <c r="V23" s="188"/>
      <c r="W23" s="188"/>
      <c r="X23" s="996">
        <f t="shared" si="7"/>
        <v>0</v>
      </c>
      <c r="Y23" s="997">
        <f t="shared" si="8"/>
        <v>0</v>
      </c>
      <c r="Z23" s="989">
        <f t="shared" si="9"/>
        <v>0</v>
      </c>
      <c r="AA23" s="989">
        <f t="shared" si="10"/>
        <v>0</v>
      </c>
      <c r="AB23" s="1230">
        <f t="shared" si="11"/>
        <v>0</v>
      </c>
    </row>
    <row r="24" spans="1:28" x14ac:dyDescent="0.25">
      <c r="A24" s="455" t="s">
        <v>370</v>
      </c>
      <c r="B24" s="87"/>
      <c r="C24" s="78"/>
      <c r="D24" s="726"/>
      <c r="E24" s="726"/>
      <c r="F24" s="726"/>
      <c r="G24" s="726"/>
      <c r="H24" s="720">
        <f t="shared" si="3"/>
        <v>0</v>
      </c>
      <c r="I24" s="720">
        <f t="shared" si="4"/>
        <v>0</v>
      </c>
      <c r="J24" s="720">
        <f t="shared" si="5"/>
        <v>0</v>
      </c>
      <c r="K24" s="989">
        <f t="shared" si="6"/>
        <v>0</v>
      </c>
      <c r="L24" s="265"/>
      <c r="M24" s="997"/>
      <c r="N24" s="997"/>
      <c r="O24" s="997"/>
      <c r="P24" s="997"/>
      <c r="Q24" s="1190"/>
      <c r="R24" s="997"/>
      <c r="S24" s="997"/>
      <c r="T24" s="997"/>
      <c r="U24" s="188"/>
      <c r="V24" s="188"/>
      <c r="W24" s="188"/>
      <c r="X24" s="996">
        <f t="shared" si="7"/>
        <v>0</v>
      </c>
      <c r="Y24" s="997">
        <f t="shared" si="8"/>
        <v>0</v>
      </c>
      <c r="Z24" s="989">
        <f t="shared" si="9"/>
        <v>0</v>
      </c>
      <c r="AA24" s="989">
        <f t="shared" si="10"/>
        <v>0</v>
      </c>
      <c r="AB24" s="1230">
        <f t="shared" si="11"/>
        <v>0</v>
      </c>
    </row>
    <row r="25" spans="1:28" x14ac:dyDescent="0.25">
      <c r="A25" s="200" t="s">
        <v>675</v>
      </c>
      <c r="B25" s="87" t="s">
        <v>29</v>
      </c>
      <c r="C25" s="52">
        <v>178743.84</v>
      </c>
      <c r="D25" s="720"/>
      <c r="E25" s="720"/>
      <c r="F25" s="720"/>
      <c r="G25" s="720"/>
      <c r="H25" s="720">
        <f t="shared" si="3"/>
        <v>178743.84</v>
      </c>
      <c r="I25" s="720">
        <f t="shared" si="4"/>
        <v>134057.88</v>
      </c>
      <c r="J25" s="720">
        <f t="shared" si="5"/>
        <v>14895.32</v>
      </c>
      <c r="K25" s="989">
        <f t="shared" si="6"/>
        <v>148953.20000000001</v>
      </c>
      <c r="L25" s="776">
        <v>14502</v>
      </c>
      <c r="M25" s="673">
        <v>14502</v>
      </c>
      <c r="N25" s="673">
        <v>14502</v>
      </c>
      <c r="O25" s="997">
        <v>16043.28</v>
      </c>
      <c r="P25" s="1166">
        <v>14899.32</v>
      </c>
      <c r="Q25" s="1192">
        <v>14899.32</v>
      </c>
      <c r="R25" s="776">
        <v>14899.32</v>
      </c>
      <c r="S25" s="1256">
        <v>14899.32</v>
      </c>
      <c r="T25" s="1257">
        <v>14899.32</v>
      </c>
      <c r="U25" s="1293">
        <v>14899.32</v>
      </c>
      <c r="V25" s="188"/>
      <c r="W25" s="188"/>
      <c r="X25" s="996">
        <f t="shared" si="7"/>
        <v>134045.88000000003</v>
      </c>
      <c r="Y25" s="997">
        <f t="shared" si="8"/>
        <v>14899.32</v>
      </c>
      <c r="Z25" s="989">
        <f t="shared" ref="Z25:Z29" si="12">X25+Y25</f>
        <v>148945.20000000004</v>
      </c>
      <c r="AA25" s="989">
        <f t="shared" ref="AA25:AA29" si="13">K25-Z25</f>
        <v>7.9999999999708962</v>
      </c>
      <c r="AB25" s="1230">
        <f t="shared" ref="AB25:AB29" si="14">H25-Z25</f>
        <v>29798.639999999956</v>
      </c>
    </row>
    <row r="26" spans="1:28" x14ac:dyDescent="0.25">
      <c r="A26" s="200" t="s">
        <v>676</v>
      </c>
      <c r="B26" s="87" t="s">
        <v>31</v>
      </c>
      <c r="C26" s="52">
        <v>29790.639999999999</v>
      </c>
      <c r="D26" s="720"/>
      <c r="E26" s="720"/>
      <c r="F26" s="720"/>
      <c r="G26" s="720"/>
      <c r="H26" s="720">
        <f t="shared" si="3"/>
        <v>29790.639999999999</v>
      </c>
      <c r="I26" s="720">
        <f t="shared" si="4"/>
        <v>22342.98</v>
      </c>
      <c r="J26" s="720">
        <f t="shared" si="5"/>
        <v>2482.5533333333333</v>
      </c>
      <c r="K26" s="989">
        <f t="shared" si="6"/>
        <v>24825.533333333333</v>
      </c>
      <c r="L26" s="776">
        <v>2417</v>
      </c>
      <c r="M26" s="673">
        <v>2417</v>
      </c>
      <c r="N26" s="673">
        <v>2417</v>
      </c>
      <c r="O26" s="997">
        <v>2673.88</v>
      </c>
      <c r="P26" s="1166">
        <v>2483.2199999999998</v>
      </c>
      <c r="Q26" s="1192">
        <v>1483</v>
      </c>
      <c r="R26" s="776">
        <v>2483.2199999999998</v>
      </c>
      <c r="S26" s="1256">
        <v>2483.2199999999998</v>
      </c>
      <c r="T26" s="1257">
        <v>1633.73</v>
      </c>
      <c r="U26" s="1293">
        <v>2483.2199999999998</v>
      </c>
      <c r="V26" s="188"/>
      <c r="W26" s="188"/>
      <c r="X26" s="996">
        <f t="shared" si="7"/>
        <v>20491.27</v>
      </c>
      <c r="Y26" s="997">
        <f t="shared" si="8"/>
        <v>2483.2199999999998</v>
      </c>
      <c r="Z26" s="989">
        <f t="shared" si="12"/>
        <v>22974.49</v>
      </c>
      <c r="AA26" s="989">
        <f t="shared" si="13"/>
        <v>1851.0433333333312</v>
      </c>
      <c r="AB26" s="1230">
        <f t="shared" si="14"/>
        <v>6816.1499999999978</v>
      </c>
    </row>
    <row r="27" spans="1:28" x14ac:dyDescent="0.25">
      <c r="A27" s="200" t="s">
        <v>677</v>
      </c>
      <c r="B27" s="87" t="s">
        <v>33</v>
      </c>
      <c r="C27" s="52">
        <v>24965.15</v>
      </c>
      <c r="D27" s="720"/>
      <c r="E27" s="720"/>
      <c r="F27" s="720"/>
      <c r="G27" s="720"/>
      <c r="H27" s="720">
        <f t="shared" si="3"/>
        <v>24965.15</v>
      </c>
      <c r="I27" s="720">
        <f t="shared" si="4"/>
        <v>18723.862500000003</v>
      </c>
      <c r="J27" s="720">
        <f t="shared" si="5"/>
        <v>2080.4291666666668</v>
      </c>
      <c r="K27" s="989">
        <f t="shared" si="6"/>
        <v>20804.291666666672</v>
      </c>
      <c r="L27" s="776">
        <v>1605.78</v>
      </c>
      <c r="M27" s="673">
        <v>1605.78</v>
      </c>
      <c r="N27" s="673">
        <v>1605.78</v>
      </c>
      <c r="O27" s="997">
        <v>1632.23</v>
      </c>
      <c r="P27" s="1166">
        <v>1633.73</v>
      </c>
      <c r="Q27" s="1192">
        <v>1633.73</v>
      </c>
      <c r="R27" s="776">
        <v>1633.73</v>
      </c>
      <c r="S27" s="1256">
        <v>1633.73</v>
      </c>
      <c r="T27" s="1257">
        <v>2483.2199999999998</v>
      </c>
      <c r="U27" s="1293">
        <v>1633.73</v>
      </c>
      <c r="V27" s="188"/>
      <c r="W27" s="188"/>
      <c r="X27" s="996">
        <f t="shared" si="7"/>
        <v>15467.709999999997</v>
      </c>
      <c r="Y27" s="997">
        <f t="shared" si="8"/>
        <v>1633.73</v>
      </c>
      <c r="Z27" s="989">
        <f t="shared" si="12"/>
        <v>17101.439999999999</v>
      </c>
      <c r="AA27" s="989">
        <f t="shared" si="13"/>
        <v>3702.8516666666728</v>
      </c>
      <c r="AB27" s="1230">
        <f t="shared" si="14"/>
        <v>7863.7100000000028</v>
      </c>
    </row>
    <row r="28" spans="1:28" x14ac:dyDescent="0.25">
      <c r="A28" s="456" t="s">
        <v>678</v>
      </c>
      <c r="B28" s="87" t="s">
        <v>35</v>
      </c>
      <c r="C28" s="52">
        <v>3600</v>
      </c>
      <c r="D28" s="720"/>
      <c r="E28" s="720"/>
      <c r="F28" s="720"/>
      <c r="G28" s="720"/>
      <c r="H28" s="720">
        <f t="shared" si="3"/>
        <v>3600</v>
      </c>
      <c r="I28" s="720">
        <f t="shared" si="4"/>
        <v>2700</v>
      </c>
      <c r="J28" s="720">
        <f t="shared" si="5"/>
        <v>300</v>
      </c>
      <c r="K28" s="989">
        <f t="shared" si="6"/>
        <v>3000</v>
      </c>
      <c r="L28" s="776">
        <v>300</v>
      </c>
      <c r="M28" s="673">
        <v>300</v>
      </c>
      <c r="N28" s="673">
        <v>300</v>
      </c>
      <c r="O28" s="997">
        <v>300</v>
      </c>
      <c r="P28" s="1166">
        <v>300</v>
      </c>
      <c r="Q28" s="1192">
        <v>300</v>
      </c>
      <c r="R28" s="776">
        <v>300</v>
      </c>
      <c r="S28" s="1256">
        <v>300</v>
      </c>
      <c r="T28" s="1257">
        <v>300</v>
      </c>
      <c r="U28" s="1293">
        <v>300</v>
      </c>
      <c r="V28" s="188"/>
      <c r="W28" s="188"/>
      <c r="X28" s="996">
        <f t="shared" si="7"/>
        <v>2700</v>
      </c>
      <c r="Y28" s="997">
        <f t="shared" si="8"/>
        <v>300</v>
      </c>
      <c r="Z28" s="989">
        <f t="shared" si="12"/>
        <v>3000</v>
      </c>
      <c r="AA28" s="989">
        <f t="shared" si="13"/>
        <v>0</v>
      </c>
      <c r="AB28" s="1230">
        <f t="shared" si="14"/>
        <v>600</v>
      </c>
    </row>
    <row r="29" spans="1:28" x14ac:dyDescent="0.25">
      <c r="A29" s="49"/>
      <c r="B29" s="116"/>
      <c r="C29" s="52"/>
      <c r="D29" s="720"/>
      <c r="E29" s="720"/>
      <c r="F29" s="720"/>
      <c r="G29" s="720"/>
      <c r="H29" s="720">
        <f t="shared" si="3"/>
        <v>0</v>
      </c>
      <c r="I29" s="720">
        <f t="shared" si="4"/>
        <v>0</v>
      </c>
      <c r="J29" s="720">
        <f t="shared" si="5"/>
        <v>0</v>
      </c>
      <c r="K29" s="989">
        <f t="shared" si="6"/>
        <v>0</v>
      </c>
      <c r="L29" s="265"/>
      <c r="M29" s="997"/>
      <c r="N29" s="997"/>
      <c r="O29" s="997"/>
      <c r="P29" s="997"/>
      <c r="Q29" s="997"/>
      <c r="R29" s="997"/>
      <c r="S29" s="997"/>
      <c r="T29" s="997"/>
      <c r="U29" s="188"/>
      <c r="V29" s="188"/>
      <c r="W29" s="188"/>
      <c r="X29" s="996">
        <f t="shared" si="7"/>
        <v>0</v>
      </c>
      <c r="Y29" s="997">
        <f t="shared" si="8"/>
        <v>0</v>
      </c>
      <c r="Z29" s="989">
        <f t="shared" si="12"/>
        <v>0</v>
      </c>
      <c r="AA29" s="989">
        <f t="shared" si="13"/>
        <v>0</v>
      </c>
      <c r="AB29" s="1230">
        <f t="shared" si="14"/>
        <v>0</v>
      </c>
    </row>
    <row r="30" spans="1:28" x14ac:dyDescent="0.25">
      <c r="A30" s="133" t="s">
        <v>40</v>
      </c>
      <c r="B30" s="222"/>
      <c r="C30" s="123">
        <f>SUM(C9:C29)</f>
        <v>2371953.63</v>
      </c>
      <c r="D30" s="123">
        <f>SUM(D9:D29)</f>
        <v>0</v>
      </c>
      <c r="E30" s="123">
        <f t="shared" ref="E30:G30" si="15">SUM(E9:E29)</f>
        <v>0</v>
      </c>
      <c r="F30" s="123">
        <f t="shared" si="15"/>
        <v>0</v>
      </c>
      <c r="G30" s="123">
        <f t="shared" si="15"/>
        <v>0</v>
      </c>
      <c r="H30" s="123">
        <f t="shared" ref="H30:AB30" si="16">SUM(H9:H29)</f>
        <v>2371953.63</v>
      </c>
      <c r="I30" s="123">
        <f t="shared" si="16"/>
        <v>1781965.2224999999</v>
      </c>
      <c r="J30" s="123">
        <f t="shared" si="16"/>
        <v>197662.80250000005</v>
      </c>
      <c r="K30" s="123">
        <f t="shared" si="16"/>
        <v>1979628.0250000001</v>
      </c>
      <c r="L30" s="123">
        <f t="shared" si="16"/>
        <v>169674.78</v>
      </c>
      <c r="M30" s="123">
        <f t="shared" si="16"/>
        <v>157674.78</v>
      </c>
      <c r="N30" s="123">
        <f t="shared" si="16"/>
        <v>157674.78</v>
      </c>
      <c r="O30" s="123">
        <f t="shared" si="16"/>
        <v>172343.39</v>
      </c>
      <c r="P30" s="123">
        <f t="shared" si="16"/>
        <v>285416.37999999995</v>
      </c>
      <c r="Q30" s="123">
        <f t="shared" si="16"/>
        <v>160477.05000000002</v>
      </c>
      <c r="R30" s="123">
        <f t="shared" si="16"/>
        <v>239177.77000000002</v>
      </c>
      <c r="S30" s="123">
        <f t="shared" si="16"/>
        <v>163960.49000000002</v>
      </c>
      <c r="T30" s="123">
        <f t="shared" si="16"/>
        <v>172577.37000000002</v>
      </c>
      <c r="U30" s="123">
        <f t="shared" si="16"/>
        <v>175052.37000000002</v>
      </c>
      <c r="V30" s="123">
        <f t="shared" si="16"/>
        <v>0</v>
      </c>
      <c r="W30" s="123">
        <f t="shared" si="16"/>
        <v>0</v>
      </c>
      <c r="X30" s="123">
        <f t="shared" si="16"/>
        <v>1678976.79</v>
      </c>
      <c r="Y30" s="123">
        <f t="shared" si="16"/>
        <v>175052.37000000002</v>
      </c>
      <c r="Z30" s="123">
        <f t="shared" si="16"/>
        <v>1854029.1599999997</v>
      </c>
      <c r="AA30" s="123">
        <f t="shared" si="16"/>
        <v>125598.86500000017</v>
      </c>
      <c r="AB30" s="614">
        <f t="shared" si="16"/>
        <v>517924.47000000009</v>
      </c>
    </row>
    <row r="31" spans="1:28" x14ac:dyDescent="0.25">
      <c r="A31" s="53" t="s">
        <v>620</v>
      </c>
      <c r="B31" s="223"/>
      <c r="C31" s="117"/>
      <c r="D31" s="117"/>
      <c r="E31" s="117"/>
      <c r="F31" s="117"/>
      <c r="G31" s="117"/>
      <c r="H31" s="117"/>
      <c r="I31" s="117"/>
      <c r="J31" s="117"/>
      <c r="K31" s="40"/>
      <c r="L31" s="695"/>
      <c r="M31" s="997"/>
      <c r="N31" s="997"/>
      <c r="O31" s="997"/>
      <c r="P31" s="997"/>
      <c r="Q31" s="997"/>
      <c r="R31" s="997"/>
      <c r="S31" s="997"/>
      <c r="T31" s="997"/>
      <c r="U31" s="188"/>
      <c r="V31" s="188"/>
      <c r="W31" s="188"/>
      <c r="X31" s="188"/>
      <c r="Y31" s="188"/>
      <c r="Z31" s="109"/>
      <c r="AA31" s="40"/>
      <c r="AB31" s="1229"/>
    </row>
    <row r="32" spans="1:28" x14ac:dyDescent="0.25">
      <c r="A32" s="173" t="s">
        <v>139</v>
      </c>
      <c r="B32" s="116" t="s">
        <v>43</v>
      </c>
      <c r="C32" s="40">
        <f>106000-56000</f>
        <v>50000</v>
      </c>
      <c r="D32" s="989"/>
      <c r="E32" s="989"/>
      <c r="F32" s="989"/>
      <c r="G32" s="989"/>
      <c r="H32" s="720">
        <f t="shared" ref="H32:H56" si="17">SUM(C32:G32)</f>
        <v>50000</v>
      </c>
      <c r="I32" s="720">
        <f t="shared" ref="I32:I56" si="18">H32/12*9</f>
        <v>37500</v>
      </c>
      <c r="J32" s="52">
        <f t="shared" ref="J32" si="19">H32/12</f>
        <v>4166.666666666667</v>
      </c>
      <c r="K32" s="40">
        <f t="shared" ref="K32" si="20">I32+J32</f>
        <v>41666.666666666664</v>
      </c>
      <c r="L32" s="720">
        <v>2640</v>
      </c>
      <c r="M32" s="726">
        <v>9420</v>
      </c>
      <c r="N32" s="726">
        <v>6800</v>
      </c>
      <c r="O32" s="726"/>
      <c r="P32" s="720">
        <v>2100</v>
      </c>
      <c r="Q32" s="726"/>
      <c r="R32" s="720">
        <f>5200</f>
        <v>5200</v>
      </c>
      <c r="S32" s="720">
        <v>5016</v>
      </c>
      <c r="T32" s="720">
        <v>3930</v>
      </c>
      <c r="U32" s="123"/>
      <c r="V32" s="123"/>
      <c r="W32" s="123"/>
      <c r="X32" s="996">
        <f t="shared" ref="X32:X56" si="21">L32+M32+N32+O32+P32+Q32+R32+S32+T32</f>
        <v>35106</v>
      </c>
      <c r="Y32" s="997">
        <f t="shared" ref="Y32:Y56" si="22">U32</f>
        <v>0</v>
      </c>
      <c r="Z32" s="716">
        <f t="shared" ref="Z32" si="23">X32+Y32</f>
        <v>35106</v>
      </c>
      <c r="AA32" s="989">
        <f t="shared" ref="AA32:AA56" si="24">K32-Z32</f>
        <v>6560.6666666666642</v>
      </c>
      <c r="AB32" s="1230">
        <f t="shared" ref="AB32:AB56" si="25">H32-Z32</f>
        <v>14894</v>
      </c>
    </row>
    <row r="33" spans="1:28" x14ac:dyDescent="0.25">
      <c r="A33" s="620" t="s">
        <v>272</v>
      </c>
      <c r="B33" s="50" t="s">
        <v>140</v>
      </c>
      <c r="C33" s="40">
        <f>50000-25000</f>
        <v>25000</v>
      </c>
      <c r="D33" s="989"/>
      <c r="E33" s="989">
        <v>5060</v>
      </c>
      <c r="F33" s="989"/>
      <c r="G33" s="989"/>
      <c r="H33" s="720">
        <f t="shared" si="17"/>
        <v>30060</v>
      </c>
      <c r="I33" s="720">
        <f t="shared" si="18"/>
        <v>22545</v>
      </c>
      <c r="J33" s="720">
        <f t="shared" ref="J33:J56" si="26">H33/12</f>
        <v>2505</v>
      </c>
      <c r="K33" s="989">
        <f t="shared" ref="K33:K56" si="27">I33+J33</f>
        <v>25050</v>
      </c>
      <c r="L33" s="695"/>
      <c r="M33" s="997"/>
      <c r="N33" s="997"/>
      <c r="O33" s="997"/>
      <c r="P33" s="997"/>
      <c r="Q33" s="997"/>
      <c r="R33" s="997"/>
      <c r="S33" s="997">
        <v>9585</v>
      </c>
      <c r="T33" s="997">
        <v>9534.5</v>
      </c>
      <c r="U33" s="1277">
        <v>500</v>
      </c>
      <c r="V33" s="188"/>
      <c r="W33" s="188"/>
      <c r="X33" s="996">
        <f t="shared" si="21"/>
        <v>19119.5</v>
      </c>
      <c r="Y33" s="997">
        <f t="shared" si="22"/>
        <v>500</v>
      </c>
      <c r="Z33" s="989">
        <f t="shared" ref="Z33:Z56" si="28">X33+Y33</f>
        <v>19619.5</v>
      </c>
      <c r="AA33" s="989">
        <f t="shared" si="24"/>
        <v>5430.5</v>
      </c>
      <c r="AB33" s="1230">
        <f t="shared" si="25"/>
        <v>10440.5</v>
      </c>
    </row>
    <row r="34" spans="1:28" x14ac:dyDescent="0.25">
      <c r="A34" s="173" t="s">
        <v>50</v>
      </c>
      <c r="B34" s="116" t="s">
        <v>51</v>
      </c>
      <c r="C34" s="40"/>
      <c r="D34" s="989"/>
      <c r="E34" s="989"/>
      <c r="F34" s="989"/>
      <c r="G34" s="989"/>
      <c r="H34" s="720">
        <f t="shared" si="17"/>
        <v>0</v>
      </c>
      <c r="I34" s="720">
        <f t="shared" si="18"/>
        <v>0</v>
      </c>
      <c r="J34" s="720">
        <f t="shared" si="26"/>
        <v>0</v>
      </c>
      <c r="K34" s="989">
        <f t="shared" si="27"/>
        <v>0</v>
      </c>
      <c r="L34" s="695"/>
      <c r="M34" s="997"/>
      <c r="N34" s="997"/>
      <c r="O34" s="997"/>
      <c r="P34" s="997"/>
      <c r="Q34" s="997"/>
      <c r="R34" s="997"/>
      <c r="S34" s="997"/>
      <c r="T34" s="997"/>
      <c r="U34" s="188"/>
      <c r="V34" s="188"/>
      <c r="W34" s="188"/>
      <c r="X34" s="996">
        <f t="shared" si="21"/>
        <v>0</v>
      </c>
      <c r="Y34" s="997">
        <f t="shared" si="22"/>
        <v>0</v>
      </c>
      <c r="Z34" s="989">
        <f t="shared" si="28"/>
        <v>0</v>
      </c>
      <c r="AA34" s="989">
        <f t="shared" si="24"/>
        <v>0</v>
      </c>
      <c r="AB34" s="1230">
        <f t="shared" si="25"/>
        <v>0</v>
      </c>
    </row>
    <row r="35" spans="1:28" x14ac:dyDescent="0.25">
      <c r="A35" s="621" t="s">
        <v>768</v>
      </c>
      <c r="B35" s="116"/>
      <c r="C35" s="40">
        <v>30000</v>
      </c>
      <c r="D35" s="989"/>
      <c r="E35" s="989"/>
      <c r="F35" s="989"/>
      <c r="G35" s="989"/>
      <c r="H35" s="720">
        <f t="shared" si="17"/>
        <v>30000</v>
      </c>
      <c r="I35" s="720">
        <f t="shared" si="18"/>
        <v>22500</v>
      </c>
      <c r="J35" s="720">
        <f t="shared" si="26"/>
        <v>2500</v>
      </c>
      <c r="K35" s="989">
        <f t="shared" si="27"/>
        <v>25000</v>
      </c>
      <c r="L35" s="695"/>
      <c r="M35" s="997">
        <v>6285</v>
      </c>
      <c r="N35" s="997">
        <v>600</v>
      </c>
      <c r="O35" s="997">
        <v>5087</v>
      </c>
      <c r="P35" s="997">
        <v>2120</v>
      </c>
      <c r="Q35" s="997">
        <v>2846</v>
      </c>
      <c r="R35" s="997">
        <v>900</v>
      </c>
      <c r="S35" s="997">
        <v>1831.5</v>
      </c>
      <c r="T35" s="997">
        <v>4200</v>
      </c>
      <c r="U35" s="188"/>
      <c r="V35" s="188"/>
      <c r="W35" s="188"/>
      <c r="X35" s="996">
        <f t="shared" si="21"/>
        <v>23869.5</v>
      </c>
      <c r="Y35" s="997">
        <f t="shared" si="22"/>
        <v>0</v>
      </c>
      <c r="Z35" s="989">
        <f t="shared" si="28"/>
        <v>23869.5</v>
      </c>
      <c r="AA35" s="989">
        <f t="shared" si="24"/>
        <v>1130.5</v>
      </c>
      <c r="AB35" s="1230">
        <f t="shared" si="25"/>
        <v>6130.5</v>
      </c>
    </row>
    <row r="36" spans="1:28" x14ac:dyDescent="0.25">
      <c r="A36" s="622" t="s">
        <v>833</v>
      </c>
      <c r="B36" s="116"/>
      <c r="C36" s="40">
        <v>5000</v>
      </c>
      <c r="D36" s="989"/>
      <c r="E36" s="989"/>
      <c r="F36" s="989"/>
      <c r="G36" s="989"/>
      <c r="H36" s="720">
        <f t="shared" si="17"/>
        <v>5000</v>
      </c>
      <c r="I36" s="720">
        <f t="shared" si="18"/>
        <v>3750</v>
      </c>
      <c r="J36" s="720">
        <f t="shared" si="26"/>
        <v>416.66666666666669</v>
      </c>
      <c r="K36" s="989">
        <f t="shared" si="27"/>
        <v>4166.666666666667</v>
      </c>
      <c r="L36" s="695"/>
      <c r="M36" s="997"/>
      <c r="N36" s="997"/>
      <c r="O36" s="997"/>
      <c r="P36" s="997"/>
      <c r="Q36" s="997"/>
      <c r="R36" s="997"/>
      <c r="S36" s="997">
        <v>1732.5</v>
      </c>
      <c r="T36" s="997"/>
      <c r="U36" s="937"/>
      <c r="V36" s="188"/>
      <c r="W36" s="188"/>
      <c r="X36" s="996">
        <f t="shared" si="21"/>
        <v>1732.5</v>
      </c>
      <c r="Y36" s="997">
        <f t="shared" si="22"/>
        <v>0</v>
      </c>
      <c r="Z36" s="989">
        <f t="shared" si="28"/>
        <v>1732.5</v>
      </c>
      <c r="AA36" s="989">
        <f t="shared" si="24"/>
        <v>2434.166666666667</v>
      </c>
      <c r="AB36" s="1230">
        <f t="shared" si="25"/>
        <v>3267.5</v>
      </c>
    </row>
    <row r="37" spans="1:28" hidden="1" x14ac:dyDescent="0.25">
      <c r="A37" s="620" t="s">
        <v>834</v>
      </c>
      <c r="B37" s="116" t="s">
        <v>843</v>
      </c>
      <c r="C37" s="40"/>
      <c r="D37" s="989"/>
      <c r="E37" s="989"/>
      <c r="F37" s="989"/>
      <c r="G37" s="989"/>
      <c r="H37" s="720">
        <f t="shared" si="17"/>
        <v>0</v>
      </c>
      <c r="I37" s="720">
        <f t="shared" si="18"/>
        <v>0</v>
      </c>
      <c r="J37" s="720">
        <f t="shared" si="26"/>
        <v>0</v>
      </c>
      <c r="K37" s="989">
        <f t="shared" si="27"/>
        <v>0</v>
      </c>
      <c r="L37" s="695"/>
      <c r="M37" s="997"/>
      <c r="N37" s="997"/>
      <c r="O37" s="997"/>
      <c r="P37" s="997"/>
      <c r="Q37" s="997"/>
      <c r="R37" s="997"/>
      <c r="S37" s="997"/>
      <c r="T37" s="997"/>
      <c r="U37" s="937"/>
      <c r="V37" s="188"/>
      <c r="W37" s="188"/>
      <c r="X37" s="996">
        <f t="shared" si="21"/>
        <v>0</v>
      </c>
      <c r="Y37" s="997">
        <f t="shared" si="22"/>
        <v>0</v>
      </c>
      <c r="Z37" s="989">
        <f t="shared" si="28"/>
        <v>0</v>
      </c>
      <c r="AA37" s="989">
        <f t="shared" si="24"/>
        <v>0</v>
      </c>
      <c r="AB37" s="1230">
        <f t="shared" si="25"/>
        <v>0</v>
      </c>
    </row>
    <row r="38" spans="1:28" hidden="1" x14ac:dyDescent="0.25">
      <c r="A38" s="622" t="s">
        <v>778</v>
      </c>
      <c r="B38" s="116"/>
      <c r="C38" s="40"/>
      <c r="D38" s="989"/>
      <c r="E38" s="989"/>
      <c r="F38" s="989"/>
      <c r="G38" s="989"/>
      <c r="H38" s="720">
        <f t="shared" si="17"/>
        <v>0</v>
      </c>
      <c r="I38" s="720">
        <f t="shared" si="18"/>
        <v>0</v>
      </c>
      <c r="J38" s="720">
        <f t="shared" si="26"/>
        <v>0</v>
      </c>
      <c r="K38" s="989">
        <f t="shared" si="27"/>
        <v>0</v>
      </c>
      <c r="L38" s="695"/>
      <c r="M38" s="997"/>
      <c r="N38" s="997"/>
      <c r="O38" s="997"/>
      <c r="P38" s="997"/>
      <c r="Q38" s="997"/>
      <c r="R38" s="997"/>
      <c r="S38" s="997"/>
      <c r="T38" s="997"/>
      <c r="U38" s="937"/>
      <c r="V38" s="188"/>
      <c r="W38" s="188"/>
      <c r="X38" s="996">
        <f t="shared" si="21"/>
        <v>0</v>
      </c>
      <c r="Y38" s="997">
        <f t="shared" si="22"/>
        <v>0</v>
      </c>
      <c r="Z38" s="989">
        <f t="shared" si="28"/>
        <v>0</v>
      </c>
      <c r="AA38" s="989">
        <f t="shared" si="24"/>
        <v>0</v>
      </c>
      <c r="AB38" s="1230">
        <f t="shared" si="25"/>
        <v>0</v>
      </c>
    </row>
    <row r="39" spans="1:28" x14ac:dyDescent="0.25">
      <c r="A39" s="173" t="s">
        <v>683</v>
      </c>
      <c r="B39" s="46" t="s">
        <v>56</v>
      </c>
      <c r="C39" s="40">
        <v>10000</v>
      </c>
      <c r="D39" s="989"/>
      <c r="E39" s="989"/>
      <c r="F39" s="989"/>
      <c r="G39" s="989"/>
      <c r="H39" s="720">
        <f t="shared" si="17"/>
        <v>10000</v>
      </c>
      <c r="I39" s="720">
        <f t="shared" si="18"/>
        <v>7500</v>
      </c>
      <c r="J39" s="720">
        <f t="shared" si="26"/>
        <v>833.33333333333337</v>
      </c>
      <c r="K39" s="989">
        <f t="shared" si="27"/>
        <v>8333.3333333333339</v>
      </c>
      <c r="L39" s="695"/>
      <c r="M39" s="997"/>
      <c r="N39" s="997"/>
      <c r="O39" s="997"/>
      <c r="P39" s="997">
        <v>500</v>
      </c>
      <c r="Q39" s="997"/>
      <c r="R39" s="997"/>
      <c r="S39" s="997"/>
      <c r="T39" s="997">
        <v>1383.29</v>
      </c>
      <c r="U39" s="937"/>
      <c r="V39" s="188"/>
      <c r="W39" s="188"/>
      <c r="X39" s="996">
        <f t="shared" si="21"/>
        <v>1883.29</v>
      </c>
      <c r="Y39" s="997">
        <f t="shared" si="22"/>
        <v>0</v>
      </c>
      <c r="Z39" s="989">
        <f t="shared" si="28"/>
        <v>1883.29</v>
      </c>
      <c r="AA39" s="989">
        <f t="shared" si="24"/>
        <v>6450.043333333334</v>
      </c>
      <c r="AB39" s="1230">
        <f t="shared" si="25"/>
        <v>8116.71</v>
      </c>
    </row>
    <row r="40" spans="1:28" x14ac:dyDescent="0.25">
      <c r="A40" s="173" t="s">
        <v>178</v>
      </c>
      <c r="B40" s="116" t="s">
        <v>60</v>
      </c>
      <c r="C40" s="40">
        <v>72000</v>
      </c>
      <c r="D40" s="989"/>
      <c r="E40" s="989"/>
      <c r="F40" s="989"/>
      <c r="G40" s="989"/>
      <c r="H40" s="720">
        <f t="shared" si="17"/>
        <v>72000</v>
      </c>
      <c r="I40" s="720">
        <f t="shared" si="18"/>
        <v>54000</v>
      </c>
      <c r="J40" s="720">
        <f t="shared" si="26"/>
        <v>6000</v>
      </c>
      <c r="K40" s="989">
        <f t="shared" si="27"/>
        <v>60000</v>
      </c>
      <c r="L40" s="720">
        <v>6000</v>
      </c>
      <c r="M40" s="726">
        <v>5999</v>
      </c>
      <c r="N40" s="726">
        <v>5999.05</v>
      </c>
      <c r="O40" s="726">
        <v>6000</v>
      </c>
      <c r="P40" s="726">
        <v>5500</v>
      </c>
      <c r="Q40" s="726">
        <v>3299</v>
      </c>
      <c r="R40" s="720">
        <v>9201</v>
      </c>
      <c r="S40" s="720">
        <v>6000</v>
      </c>
      <c r="T40" s="720">
        <v>6000</v>
      </c>
      <c r="U40" s="117">
        <v>5500</v>
      </c>
      <c r="V40" s="123"/>
      <c r="W40" s="123"/>
      <c r="X40" s="996">
        <f t="shared" si="21"/>
        <v>53998.05</v>
      </c>
      <c r="Y40" s="997">
        <f t="shared" si="22"/>
        <v>5500</v>
      </c>
      <c r="Z40" s="989">
        <f t="shared" si="28"/>
        <v>59498.05</v>
      </c>
      <c r="AA40" s="989">
        <f t="shared" si="24"/>
        <v>501.94999999999709</v>
      </c>
      <c r="AB40" s="1230">
        <f t="shared" si="25"/>
        <v>12501.949999999997</v>
      </c>
    </row>
    <row r="41" spans="1:28" x14ac:dyDescent="0.25">
      <c r="A41" s="173" t="s">
        <v>61</v>
      </c>
      <c r="B41" s="116" t="s">
        <v>62</v>
      </c>
      <c r="C41" s="40">
        <v>12000</v>
      </c>
      <c r="D41" s="989"/>
      <c r="E41" s="989"/>
      <c r="F41" s="989"/>
      <c r="G41" s="989"/>
      <c r="H41" s="720">
        <f t="shared" si="17"/>
        <v>12000</v>
      </c>
      <c r="I41" s="720">
        <f t="shared" si="18"/>
        <v>9000</v>
      </c>
      <c r="J41" s="720">
        <f t="shared" si="26"/>
        <v>1000</v>
      </c>
      <c r="K41" s="989">
        <f t="shared" si="27"/>
        <v>10000</v>
      </c>
      <c r="L41" s="716">
        <v>999</v>
      </c>
      <c r="M41" s="990">
        <v>999</v>
      </c>
      <c r="N41" s="990"/>
      <c r="O41" s="990">
        <v>1998</v>
      </c>
      <c r="P41" s="990">
        <v>995</v>
      </c>
      <c r="Q41" s="990">
        <v>999</v>
      </c>
      <c r="R41" s="989">
        <v>999</v>
      </c>
      <c r="S41" s="989">
        <v>999</v>
      </c>
      <c r="T41" s="989">
        <v>999</v>
      </c>
      <c r="U41" s="886">
        <v>999</v>
      </c>
      <c r="V41" s="204"/>
      <c r="W41" s="204"/>
      <c r="X41" s="996">
        <f t="shared" si="21"/>
        <v>8987</v>
      </c>
      <c r="Y41" s="997">
        <f t="shared" si="22"/>
        <v>999</v>
      </c>
      <c r="Z41" s="989">
        <f t="shared" si="28"/>
        <v>9986</v>
      </c>
      <c r="AA41" s="989">
        <f t="shared" si="24"/>
        <v>14</v>
      </c>
      <c r="AB41" s="1230">
        <f t="shared" si="25"/>
        <v>2014</v>
      </c>
    </row>
    <row r="42" spans="1:28" x14ac:dyDescent="0.25">
      <c r="A42" s="173" t="s">
        <v>69</v>
      </c>
      <c r="B42" s="116" t="s">
        <v>70</v>
      </c>
      <c r="C42" s="40">
        <f>516000+102600+10800</f>
        <v>629400</v>
      </c>
      <c r="D42" s="989"/>
      <c r="E42" s="989"/>
      <c r="F42" s="989"/>
      <c r="G42" s="989"/>
      <c r="H42" s="720">
        <f t="shared" si="17"/>
        <v>629400</v>
      </c>
      <c r="I42" s="720">
        <f t="shared" si="18"/>
        <v>472050</v>
      </c>
      <c r="J42" s="720">
        <f t="shared" si="26"/>
        <v>52450</v>
      </c>
      <c r="K42" s="989">
        <f t="shared" si="27"/>
        <v>524500</v>
      </c>
      <c r="L42" s="695">
        <f>25249.83</f>
        <v>25249.83</v>
      </c>
      <c r="M42" s="997">
        <v>53835.97</v>
      </c>
      <c r="N42" s="997">
        <v>49404.52</v>
      </c>
      <c r="O42" s="997">
        <v>50066.49</v>
      </c>
      <c r="P42" s="997">
        <v>49402.239999999998</v>
      </c>
      <c r="Q42" s="997">
        <v>55898.19</v>
      </c>
      <c r="R42" s="997">
        <v>36383.82</v>
      </c>
      <c r="S42" s="997">
        <v>49725.2</v>
      </c>
      <c r="T42" s="997">
        <v>49120</v>
      </c>
      <c r="U42" s="188">
        <v>50100</v>
      </c>
      <c r="V42" s="188"/>
      <c r="W42" s="188"/>
      <c r="X42" s="996">
        <f t="shared" si="21"/>
        <v>419086.26</v>
      </c>
      <c r="Y42" s="997">
        <f t="shared" si="22"/>
        <v>50100</v>
      </c>
      <c r="Z42" s="989">
        <f t="shared" si="28"/>
        <v>469186.26</v>
      </c>
      <c r="AA42" s="989">
        <f t="shared" si="24"/>
        <v>55313.739999999991</v>
      </c>
      <c r="AB42" s="1230">
        <f t="shared" si="25"/>
        <v>160213.74</v>
      </c>
    </row>
    <row r="43" spans="1:28" x14ac:dyDescent="0.25">
      <c r="A43" s="173" t="s">
        <v>835</v>
      </c>
      <c r="B43" s="116" t="s">
        <v>158</v>
      </c>
      <c r="C43" s="40"/>
      <c r="D43" s="989"/>
      <c r="E43" s="989"/>
      <c r="F43" s="989"/>
      <c r="G43" s="989"/>
      <c r="H43" s="720">
        <f t="shared" si="17"/>
        <v>0</v>
      </c>
      <c r="I43" s="720">
        <f t="shared" si="18"/>
        <v>0</v>
      </c>
      <c r="J43" s="720">
        <f t="shared" si="26"/>
        <v>0</v>
      </c>
      <c r="K43" s="989">
        <f t="shared" si="27"/>
        <v>0</v>
      </c>
      <c r="L43" s="78"/>
      <c r="M43" s="726"/>
      <c r="N43" s="726"/>
      <c r="O43" s="726"/>
      <c r="P43" s="726"/>
      <c r="Q43" s="726"/>
      <c r="R43" s="720"/>
      <c r="S43" s="726"/>
      <c r="T43" s="720"/>
      <c r="U43" s="78"/>
      <c r="V43" s="78"/>
      <c r="W43" s="78"/>
      <c r="X43" s="996">
        <f t="shared" si="21"/>
        <v>0</v>
      </c>
      <c r="Y43" s="997">
        <f t="shared" si="22"/>
        <v>0</v>
      </c>
      <c r="Z43" s="989">
        <f t="shared" si="28"/>
        <v>0</v>
      </c>
      <c r="AA43" s="989">
        <f t="shared" si="24"/>
        <v>0</v>
      </c>
      <c r="AB43" s="1230">
        <f t="shared" si="25"/>
        <v>0</v>
      </c>
    </row>
    <row r="44" spans="1:28" x14ac:dyDescent="0.25">
      <c r="A44" s="623" t="s">
        <v>836</v>
      </c>
      <c r="B44" s="116"/>
      <c r="C44" s="40">
        <v>20000</v>
      </c>
      <c r="D44" s="989"/>
      <c r="E44" s="989"/>
      <c r="F44" s="989"/>
      <c r="G44" s="989"/>
      <c r="H44" s="720">
        <f t="shared" si="17"/>
        <v>20000</v>
      </c>
      <c r="I44" s="720">
        <f t="shared" si="18"/>
        <v>15000</v>
      </c>
      <c r="J44" s="720">
        <f t="shared" si="26"/>
        <v>1666.6666666666667</v>
      </c>
      <c r="K44" s="989">
        <f t="shared" si="27"/>
        <v>16666.666666666668</v>
      </c>
      <c r="L44" s="265"/>
      <c r="M44" s="997"/>
      <c r="N44" s="997"/>
      <c r="O44" s="997"/>
      <c r="P44" s="997"/>
      <c r="Q44" s="997"/>
      <c r="R44" s="997"/>
      <c r="S44" s="997"/>
      <c r="T44" s="997"/>
      <c r="U44" s="188"/>
      <c r="V44" s="188"/>
      <c r="W44" s="188"/>
      <c r="X44" s="996">
        <f t="shared" si="21"/>
        <v>0</v>
      </c>
      <c r="Y44" s="997">
        <f t="shared" si="22"/>
        <v>0</v>
      </c>
      <c r="Z44" s="989">
        <f t="shared" si="28"/>
        <v>0</v>
      </c>
      <c r="AA44" s="989">
        <f t="shared" si="24"/>
        <v>16666.666666666668</v>
      </c>
      <c r="AB44" s="1230">
        <f t="shared" si="25"/>
        <v>20000</v>
      </c>
    </row>
    <row r="45" spans="1:28" x14ac:dyDescent="0.25">
      <c r="A45" s="273" t="s">
        <v>837</v>
      </c>
      <c r="B45" s="116" t="s">
        <v>76</v>
      </c>
      <c r="C45" s="40"/>
      <c r="D45" s="989"/>
      <c r="E45" s="989"/>
      <c r="F45" s="989"/>
      <c r="G45" s="989"/>
      <c r="H45" s="720">
        <f t="shared" si="17"/>
        <v>0</v>
      </c>
      <c r="I45" s="720">
        <f t="shared" si="18"/>
        <v>0</v>
      </c>
      <c r="J45" s="720">
        <f t="shared" si="26"/>
        <v>0</v>
      </c>
      <c r="K45" s="989">
        <f t="shared" si="27"/>
        <v>0</v>
      </c>
      <c r="L45" s="109"/>
      <c r="M45" s="990"/>
      <c r="N45" s="990"/>
      <c r="O45" s="990"/>
      <c r="P45" s="990"/>
      <c r="Q45" s="990"/>
      <c r="R45" s="990"/>
      <c r="S45" s="990"/>
      <c r="T45" s="990"/>
      <c r="U45" s="204"/>
      <c r="V45" s="204"/>
      <c r="W45" s="204"/>
      <c r="X45" s="996">
        <f t="shared" si="21"/>
        <v>0</v>
      </c>
      <c r="Y45" s="997">
        <f t="shared" si="22"/>
        <v>0</v>
      </c>
      <c r="Z45" s="989">
        <f t="shared" si="28"/>
        <v>0</v>
      </c>
      <c r="AA45" s="989">
        <f t="shared" si="24"/>
        <v>0</v>
      </c>
      <c r="AB45" s="1230">
        <f t="shared" si="25"/>
        <v>0</v>
      </c>
    </row>
    <row r="46" spans="1:28" x14ac:dyDescent="0.25">
      <c r="A46" s="383" t="s">
        <v>325</v>
      </c>
      <c r="B46" s="116"/>
      <c r="C46" s="40">
        <v>5000</v>
      </c>
      <c r="D46" s="989"/>
      <c r="E46" s="989"/>
      <c r="F46" s="989"/>
      <c r="G46" s="989"/>
      <c r="H46" s="720">
        <f t="shared" si="17"/>
        <v>5000</v>
      </c>
      <c r="I46" s="720">
        <f t="shared" si="18"/>
        <v>3750</v>
      </c>
      <c r="J46" s="720">
        <f t="shared" si="26"/>
        <v>416.66666666666669</v>
      </c>
      <c r="K46" s="989">
        <f t="shared" si="27"/>
        <v>4166.666666666667</v>
      </c>
      <c r="L46" s="265"/>
      <c r="M46" s="997"/>
      <c r="N46" s="997"/>
      <c r="O46" s="997"/>
      <c r="P46" s="997"/>
      <c r="Q46" s="997"/>
      <c r="R46" s="997"/>
      <c r="S46" s="997"/>
      <c r="T46" s="997"/>
      <c r="U46" s="188"/>
      <c r="V46" s="188"/>
      <c r="W46" s="188"/>
      <c r="X46" s="996">
        <f t="shared" si="21"/>
        <v>0</v>
      </c>
      <c r="Y46" s="997">
        <f t="shared" si="22"/>
        <v>0</v>
      </c>
      <c r="Z46" s="989">
        <f t="shared" si="28"/>
        <v>0</v>
      </c>
      <c r="AA46" s="989">
        <f t="shared" si="24"/>
        <v>4166.666666666667</v>
      </c>
      <c r="AB46" s="1230">
        <f t="shared" si="25"/>
        <v>5000</v>
      </c>
    </row>
    <row r="47" spans="1:28" x14ac:dyDescent="0.25">
      <c r="A47" s="383" t="s">
        <v>390</v>
      </c>
      <c r="B47" s="116"/>
      <c r="C47" s="40">
        <v>8000</v>
      </c>
      <c r="D47" s="989"/>
      <c r="E47" s="989"/>
      <c r="F47" s="989"/>
      <c r="G47" s="989"/>
      <c r="H47" s="720">
        <f t="shared" si="17"/>
        <v>8000</v>
      </c>
      <c r="I47" s="720">
        <f t="shared" si="18"/>
        <v>6000</v>
      </c>
      <c r="J47" s="720">
        <f t="shared" si="26"/>
        <v>666.66666666666663</v>
      </c>
      <c r="K47" s="989">
        <f t="shared" si="27"/>
        <v>6666.666666666667</v>
      </c>
      <c r="L47" s="265"/>
      <c r="M47" s="997">
        <v>1600</v>
      </c>
      <c r="N47" s="997">
        <v>800</v>
      </c>
      <c r="O47" s="997"/>
      <c r="P47" s="997"/>
      <c r="Q47" s="997"/>
      <c r="R47" s="997">
        <v>900</v>
      </c>
      <c r="S47" s="997"/>
      <c r="T47" s="997"/>
      <c r="U47" s="188"/>
      <c r="V47" s="188"/>
      <c r="W47" s="188"/>
      <c r="X47" s="996">
        <f t="shared" si="21"/>
        <v>3300</v>
      </c>
      <c r="Y47" s="997">
        <f t="shared" si="22"/>
        <v>0</v>
      </c>
      <c r="Z47" s="989">
        <f t="shared" si="28"/>
        <v>3300</v>
      </c>
      <c r="AA47" s="989">
        <f t="shared" si="24"/>
        <v>3366.666666666667</v>
      </c>
      <c r="AB47" s="1230">
        <f t="shared" si="25"/>
        <v>4700</v>
      </c>
    </row>
    <row r="48" spans="1:28" x14ac:dyDescent="0.25">
      <c r="A48" s="173" t="s">
        <v>740</v>
      </c>
      <c r="B48" s="116" t="s">
        <v>81</v>
      </c>
      <c r="C48" s="40">
        <v>2000</v>
      </c>
      <c r="D48" s="989"/>
      <c r="E48" s="989"/>
      <c r="F48" s="989"/>
      <c r="G48" s="989"/>
      <c r="H48" s="720">
        <f t="shared" si="17"/>
        <v>2000</v>
      </c>
      <c r="I48" s="720">
        <f t="shared" si="18"/>
        <v>1500</v>
      </c>
      <c r="J48" s="720">
        <f t="shared" si="26"/>
        <v>166.66666666666666</v>
      </c>
      <c r="K48" s="989">
        <f t="shared" si="27"/>
        <v>1666.6666666666667</v>
      </c>
      <c r="L48" s="265"/>
      <c r="M48" s="997"/>
      <c r="N48" s="997"/>
      <c r="O48" s="997"/>
      <c r="P48" s="997"/>
      <c r="Q48" s="997"/>
      <c r="R48" s="997"/>
      <c r="S48" s="997"/>
      <c r="T48" s="997"/>
      <c r="U48" s="188"/>
      <c r="V48" s="188"/>
      <c r="W48" s="188"/>
      <c r="X48" s="996">
        <f t="shared" si="21"/>
        <v>0</v>
      </c>
      <c r="Y48" s="997">
        <f t="shared" si="22"/>
        <v>0</v>
      </c>
      <c r="Z48" s="989">
        <f t="shared" si="28"/>
        <v>0</v>
      </c>
      <c r="AA48" s="989">
        <f t="shared" si="24"/>
        <v>1666.6666666666667</v>
      </c>
      <c r="AB48" s="1230">
        <f t="shared" si="25"/>
        <v>2000</v>
      </c>
    </row>
    <row r="49" spans="1:28" x14ac:dyDescent="0.25">
      <c r="A49" s="173" t="s">
        <v>257</v>
      </c>
      <c r="B49" s="116" t="s">
        <v>83</v>
      </c>
      <c r="C49" s="40">
        <v>2000</v>
      </c>
      <c r="D49" s="989"/>
      <c r="E49" s="989"/>
      <c r="F49" s="989"/>
      <c r="G49" s="989"/>
      <c r="H49" s="720">
        <f t="shared" si="17"/>
        <v>2000</v>
      </c>
      <c r="I49" s="720">
        <f t="shared" si="18"/>
        <v>1500</v>
      </c>
      <c r="J49" s="720">
        <f t="shared" si="26"/>
        <v>166.66666666666666</v>
      </c>
      <c r="K49" s="989">
        <f t="shared" si="27"/>
        <v>1666.6666666666667</v>
      </c>
      <c r="L49" s="265"/>
      <c r="M49" s="997">
        <v>1765.12</v>
      </c>
      <c r="N49" s="997"/>
      <c r="O49" s="997"/>
      <c r="P49" s="997"/>
      <c r="Q49" s="997"/>
      <c r="R49" s="997"/>
      <c r="S49" s="997"/>
      <c r="T49" s="997"/>
      <c r="U49" s="188"/>
      <c r="V49" s="188"/>
      <c r="W49" s="188"/>
      <c r="X49" s="996">
        <f t="shared" si="21"/>
        <v>1765.12</v>
      </c>
      <c r="Y49" s="997">
        <f t="shared" si="22"/>
        <v>0</v>
      </c>
      <c r="Z49" s="989">
        <f t="shared" si="28"/>
        <v>1765.12</v>
      </c>
      <c r="AA49" s="989">
        <f t="shared" si="24"/>
        <v>-98.453333333333148</v>
      </c>
      <c r="AB49" s="1230">
        <f t="shared" si="25"/>
        <v>234.88000000000011</v>
      </c>
    </row>
    <row r="50" spans="1:28" x14ac:dyDescent="0.25">
      <c r="A50" s="173" t="s">
        <v>586</v>
      </c>
      <c r="B50" s="116" t="s">
        <v>93</v>
      </c>
      <c r="C50" s="40"/>
      <c r="D50" s="989"/>
      <c r="E50" s="989"/>
      <c r="F50" s="989"/>
      <c r="G50" s="989"/>
      <c r="H50" s="720">
        <f t="shared" si="17"/>
        <v>0</v>
      </c>
      <c r="I50" s="720">
        <f t="shared" si="18"/>
        <v>0</v>
      </c>
      <c r="J50" s="720">
        <f t="shared" si="26"/>
        <v>0</v>
      </c>
      <c r="K50" s="989">
        <f t="shared" si="27"/>
        <v>0</v>
      </c>
      <c r="L50" s="265"/>
      <c r="M50" s="997"/>
      <c r="N50" s="997"/>
      <c r="O50" s="997"/>
      <c r="P50" s="997"/>
      <c r="Q50" s="997"/>
      <c r="R50" s="997"/>
      <c r="S50" s="997"/>
      <c r="T50" s="997"/>
      <c r="U50" s="188"/>
      <c r="V50" s="188"/>
      <c r="W50" s="188"/>
      <c r="X50" s="996">
        <f t="shared" si="21"/>
        <v>0</v>
      </c>
      <c r="Y50" s="997">
        <f t="shared" si="22"/>
        <v>0</v>
      </c>
      <c r="Z50" s="989">
        <f t="shared" si="28"/>
        <v>0</v>
      </c>
      <c r="AA50" s="989">
        <f t="shared" si="24"/>
        <v>0</v>
      </c>
      <c r="AB50" s="1230">
        <f t="shared" si="25"/>
        <v>0</v>
      </c>
    </row>
    <row r="51" spans="1:28" x14ac:dyDescent="0.25">
      <c r="A51" s="281" t="s">
        <v>838</v>
      </c>
      <c r="B51" s="116"/>
      <c r="C51" s="40">
        <v>10000</v>
      </c>
      <c r="D51" s="989"/>
      <c r="E51" s="989"/>
      <c r="F51" s="989"/>
      <c r="G51" s="989"/>
      <c r="H51" s="720">
        <f t="shared" si="17"/>
        <v>10000</v>
      </c>
      <c r="I51" s="720">
        <f t="shared" si="18"/>
        <v>7500</v>
      </c>
      <c r="J51" s="720">
        <f t="shared" si="26"/>
        <v>833.33333333333337</v>
      </c>
      <c r="K51" s="989">
        <f t="shared" si="27"/>
        <v>8333.3333333333339</v>
      </c>
      <c r="L51" s="265"/>
      <c r="M51" s="997"/>
      <c r="N51" s="997"/>
      <c r="O51" s="997"/>
      <c r="P51" s="997"/>
      <c r="Q51" s="997"/>
      <c r="R51" s="997"/>
      <c r="S51" s="997"/>
      <c r="T51" s="997"/>
      <c r="U51" s="188"/>
      <c r="V51" s="188"/>
      <c r="W51" s="188"/>
      <c r="X51" s="996">
        <f t="shared" si="21"/>
        <v>0</v>
      </c>
      <c r="Y51" s="997">
        <f t="shared" si="22"/>
        <v>0</v>
      </c>
      <c r="Z51" s="989">
        <f t="shared" si="28"/>
        <v>0</v>
      </c>
      <c r="AA51" s="989">
        <f t="shared" si="24"/>
        <v>8333.3333333333339</v>
      </c>
      <c r="AB51" s="1230">
        <f t="shared" si="25"/>
        <v>10000</v>
      </c>
    </row>
    <row r="52" spans="1:28" x14ac:dyDescent="0.25">
      <c r="A52" s="281" t="s">
        <v>839</v>
      </c>
      <c r="B52" s="116"/>
      <c r="C52" s="40">
        <v>50000</v>
      </c>
      <c r="D52" s="989"/>
      <c r="E52" s="989"/>
      <c r="F52" s="989"/>
      <c r="G52" s="989"/>
      <c r="H52" s="720">
        <f t="shared" si="17"/>
        <v>50000</v>
      </c>
      <c r="I52" s="720">
        <f t="shared" si="18"/>
        <v>37500</v>
      </c>
      <c r="J52" s="720">
        <f t="shared" si="26"/>
        <v>4166.666666666667</v>
      </c>
      <c r="K52" s="989">
        <f t="shared" si="27"/>
        <v>41666.666666666664</v>
      </c>
      <c r="L52" s="265"/>
      <c r="M52" s="997"/>
      <c r="N52" s="997"/>
      <c r="O52" s="997"/>
      <c r="P52" s="997"/>
      <c r="Q52" s="997"/>
      <c r="R52" s="997"/>
      <c r="S52" s="997"/>
      <c r="T52" s="997"/>
      <c r="U52" s="188">
        <v>10000</v>
      </c>
      <c r="V52" s="188"/>
      <c r="W52" s="188"/>
      <c r="X52" s="996">
        <f t="shared" si="21"/>
        <v>0</v>
      </c>
      <c r="Y52" s="997">
        <f t="shared" si="22"/>
        <v>10000</v>
      </c>
      <c r="Z52" s="989">
        <f t="shared" si="28"/>
        <v>10000</v>
      </c>
      <c r="AA52" s="989">
        <f t="shared" si="24"/>
        <v>31666.666666666664</v>
      </c>
      <c r="AB52" s="1230">
        <f t="shared" si="25"/>
        <v>40000</v>
      </c>
    </row>
    <row r="53" spans="1:28" x14ac:dyDescent="0.25">
      <c r="A53" s="281" t="s">
        <v>840</v>
      </c>
      <c r="B53" s="116"/>
      <c r="C53" s="40">
        <v>10000</v>
      </c>
      <c r="D53" s="989"/>
      <c r="E53" s="989"/>
      <c r="F53" s="989"/>
      <c r="G53" s="989"/>
      <c r="H53" s="720">
        <f t="shared" si="17"/>
        <v>10000</v>
      </c>
      <c r="I53" s="720">
        <f t="shared" si="18"/>
        <v>7500</v>
      </c>
      <c r="J53" s="720">
        <f t="shared" si="26"/>
        <v>833.33333333333337</v>
      </c>
      <c r="K53" s="989">
        <f t="shared" si="27"/>
        <v>8333.3333333333339</v>
      </c>
      <c r="L53" s="265"/>
      <c r="M53" s="997"/>
      <c r="N53" s="997">
        <v>9200</v>
      </c>
      <c r="O53" s="997"/>
      <c r="P53" s="997"/>
      <c r="Q53" s="997"/>
      <c r="R53" s="997"/>
      <c r="S53" s="997"/>
      <c r="T53" s="997"/>
      <c r="U53" s="188"/>
      <c r="V53" s="188"/>
      <c r="W53" s="188"/>
      <c r="X53" s="996">
        <f t="shared" si="21"/>
        <v>9200</v>
      </c>
      <c r="Y53" s="997">
        <f t="shared" si="22"/>
        <v>0</v>
      </c>
      <c r="Z53" s="989">
        <f t="shared" si="28"/>
        <v>9200</v>
      </c>
      <c r="AA53" s="989">
        <f t="shared" si="24"/>
        <v>-866.66666666666606</v>
      </c>
      <c r="AB53" s="1230">
        <f t="shared" si="25"/>
        <v>800</v>
      </c>
    </row>
    <row r="54" spans="1:28" x14ac:dyDescent="0.25">
      <c r="A54" s="281" t="s">
        <v>841</v>
      </c>
      <c r="B54" s="116"/>
      <c r="C54" s="40">
        <f>30000-15000</f>
        <v>15000</v>
      </c>
      <c r="D54" s="989"/>
      <c r="E54" s="989"/>
      <c r="F54" s="989"/>
      <c r="G54" s="989"/>
      <c r="H54" s="720">
        <f t="shared" si="17"/>
        <v>15000</v>
      </c>
      <c r="I54" s="720">
        <f t="shared" si="18"/>
        <v>11250</v>
      </c>
      <c r="J54" s="720">
        <f t="shared" si="26"/>
        <v>1250</v>
      </c>
      <c r="K54" s="989">
        <f t="shared" si="27"/>
        <v>12500</v>
      </c>
      <c r="L54" s="265"/>
      <c r="M54" s="997"/>
      <c r="N54" s="997"/>
      <c r="O54" s="997"/>
      <c r="P54" s="997"/>
      <c r="Q54" s="997"/>
      <c r="R54" s="997"/>
      <c r="S54" s="997"/>
      <c r="T54" s="997"/>
      <c r="U54" s="188"/>
      <c r="V54" s="188"/>
      <c r="W54" s="188"/>
      <c r="X54" s="996">
        <f t="shared" si="21"/>
        <v>0</v>
      </c>
      <c r="Y54" s="997">
        <f t="shared" si="22"/>
        <v>0</v>
      </c>
      <c r="Z54" s="989">
        <f t="shared" si="28"/>
        <v>0</v>
      </c>
      <c r="AA54" s="989">
        <f t="shared" si="24"/>
        <v>12500</v>
      </c>
      <c r="AB54" s="1230">
        <f t="shared" si="25"/>
        <v>15000</v>
      </c>
    </row>
    <row r="55" spans="1:28" x14ac:dyDescent="0.25">
      <c r="A55" s="281" t="s">
        <v>842</v>
      </c>
      <c r="B55" s="116"/>
      <c r="C55" s="40">
        <v>20000</v>
      </c>
      <c r="D55" s="989"/>
      <c r="E55" s="989"/>
      <c r="F55" s="989"/>
      <c r="G55" s="989"/>
      <c r="H55" s="720">
        <f t="shared" si="17"/>
        <v>20000</v>
      </c>
      <c r="I55" s="720">
        <f t="shared" si="18"/>
        <v>15000</v>
      </c>
      <c r="J55" s="720">
        <f t="shared" si="26"/>
        <v>1666.6666666666667</v>
      </c>
      <c r="K55" s="989">
        <f t="shared" si="27"/>
        <v>16666.666666666668</v>
      </c>
      <c r="L55" s="265">
        <v>6900</v>
      </c>
      <c r="M55" s="997"/>
      <c r="N55" s="997"/>
      <c r="O55" s="997"/>
      <c r="P55" s="997">
        <v>13100</v>
      </c>
      <c r="Q55" s="997"/>
      <c r="R55" s="997"/>
      <c r="S55" s="997"/>
      <c r="T55" s="997"/>
      <c r="U55" s="188"/>
      <c r="V55" s="188"/>
      <c r="W55" s="188"/>
      <c r="X55" s="996">
        <f t="shared" si="21"/>
        <v>20000</v>
      </c>
      <c r="Y55" s="997">
        <f t="shared" si="22"/>
        <v>0</v>
      </c>
      <c r="Z55" s="989">
        <f t="shared" si="28"/>
        <v>20000</v>
      </c>
      <c r="AA55" s="989">
        <f t="shared" si="24"/>
        <v>-3333.3333333333321</v>
      </c>
      <c r="AB55" s="1230">
        <f t="shared" si="25"/>
        <v>0</v>
      </c>
    </row>
    <row r="56" spans="1:28" x14ac:dyDescent="0.25">
      <c r="A56" s="125"/>
      <c r="B56" s="116"/>
      <c r="C56" s="117"/>
      <c r="D56" s="117"/>
      <c r="E56" s="117"/>
      <c r="F56" s="117"/>
      <c r="G56" s="117"/>
      <c r="H56" s="720">
        <f t="shared" si="17"/>
        <v>0</v>
      </c>
      <c r="I56" s="720">
        <f t="shared" si="18"/>
        <v>0</v>
      </c>
      <c r="J56" s="720">
        <f t="shared" si="26"/>
        <v>0</v>
      </c>
      <c r="K56" s="989">
        <f t="shared" si="27"/>
        <v>0</v>
      </c>
      <c r="L56" s="170"/>
      <c r="M56" s="170"/>
      <c r="N56" s="170"/>
      <c r="O56" s="170"/>
      <c r="P56" s="170"/>
      <c r="Q56" s="170"/>
      <c r="R56" s="170"/>
      <c r="S56" s="170"/>
      <c r="T56" s="170"/>
      <c r="U56" s="614"/>
      <c r="V56" s="614"/>
      <c r="W56" s="614"/>
      <c r="X56" s="996">
        <f t="shared" si="21"/>
        <v>0</v>
      </c>
      <c r="Y56" s="997">
        <f t="shared" si="22"/>
        <v>0</v>
      </c>
      <c r="Z56" s="989">
        <f t="shared" si="28"/>
        <v>0</v>
      </c>
      <c r="AA56" s="989">
        <f t="shared" si="24"/>
        <v>0</v>
      </c>
      <c r="AB56" s="1230">
        <f t="shared" si="25"/>
        <v>0</v>
      </c>
    </row>
    <row r="57" spans="1:28" x14ac:dyDescent="0.25">
      <c r="A57" s="133" t="s">
        <v>108</v>
      </c>
      <c r="B57" s="224"/>
      <c r="C57" s="123">
        <f>SUM(C32:C55)</f>
        <v>975400</v>
      </c>
      <c r="D57" s="123">
        <f>SUM(D32:D55)</f>
        <v>0</v>
      </c>
      <c r="E57" s="123">
        <f t="shared" ref="E57:F57" si="29">SUM(E32:E55)</f>
        <v>5060</v>
      </c>
      <c r="F57" s="123">
        <f t="shared" si="29"/>
        <v>0</v>
      </c>
      <c r="G57" s="123">
        <f t="shared" ref="G57" si="30">SUM(G32:G55)</f>
        <v>0</v>
      </c>
      <c r="H57" s="123">
        <f t="shared" ref="H57:AB57" si="31">SUM(H32:H55)</f>
        <v>980460</v>
      </c>
      <c r="I57" s="123">
        <f t="shared" si="31"/>
        <v>735345</v>
      </c>
      <c r="J57" s="123">
        <f t="shared" si="31"/>
        <v>81705.000000000029</v>
      </c>
      <c r="K57" s="123">
        <f t="shared" si="31"/>
        <v>817049.99999999977</v>
      </c>
      <c r="L57" s="123">
        <f t="shared" si="31"/>
        <v>41788.83</v>
      </c>
      <c r="M57" s="123">
        <f t="shared" si="31"/>
        <v>79904.09</v>
      </c>
      <c r="N57" s="123">
        <f t="shared" si="31"/>
        <v>72803.569999999992</v>
      </c>
      <c r="O57" s="123">
        <f t="shared" si="31"/>
        <v>63151.49</v>
      </c>
      <c r="P57" s="123">
        <f t="shared" si="31"/>
        <v>73717.239999999991</v>
      </c>
      <c r="Q57" s="123">
        <f t="shared" si="31"/>
        <v>63042.19</v>
      </c>
      <c r="R57" s="123">
        <f t="shared" si="31"/>
        <v>53583.82</v>
      </c>
      <c r="S57" s="123">
        <f t="shared" si="31"/>
        <v>74889.2</v>
      </c>
      <c r="T57" s="123">
        <f t="shared" si="31"/>
        <v>75166.790000000008</v>
      </c>
      <c r="U57" s="123">
        <f t="shared" si="31"/>
        <v>67099</v>
      </c>
      <c r="V57" s="123">
        <f t="shared" si="31"/>
        <v>0</v>
      </c>
      <c r="W57" s="123">
        <f t="shared" si="31"/>
        <v>0</v>
      </c>
      <c r="X57" s="123">
        <f t="shared" si="31"/>
        <v>598047.22</v>
      </c>
      <c r="Y57" s="123">
        <f t="shared" si="31"/>
        <v>67099</v>
      </c>
      <c r="Z57" s="123">
        <f t="shared" si="31"/>
        <v>665146.22</v>
      </c>
      <c r="AA57" s="123">
        <f t="shared" si="31"/>
        <v>151903.78</v>
      </c>
      <c r="AB57" s="614">
        <f t="shared" si="31"/>
        <v>315313.78000000003</v>
      </c>
    </row>
    <row r="58" spans="1:28" x14ac:dyDescent="0.25">
      <c r="A58" s="133" t="s">
        <v>230</v>
      </c>
      <c r="B58" s="225"/>
      <c r="C58" s="117"/>
      <c r="D58" s="117"/>
      <c r="E58" s="117"/>
      <c r="F58" s="117"/>
      <c r="G58" s="117"/>
      <c r="H58" s="117"/>
      <c r="I58" s="117"/>
      <c r="J58" s="117"/>
      <c r="K58" s="40"/>
      <c r="L58" s="265"/>
      <c r="M58" s="997"/>
      <c r="N58" s="997"/>
      <c r="O58" s="997"/>
      <c r="P58" s="997"/>
      <c r="Q58" s="997"/>
      <c r="R58" s="997"/>
      <c r="S58" s="997"/>
      <c r="T58" s="997"/>
      <c r="U58" s="188"/>
      <c r="V58" s="188"/>
      <c r="W58" s="188"/>
      <c r="X58" s="188"/>
      <c r="Y58" s="265">
        <f t="shared" ref="Y58" si="32">L58</f>
        <v>0</v>
      </c>
      <c r="Z58" s="109"/>
      <c r="AA58" s="40"/>
      <c r="AB58" s="1229"/>
    </row>
    <row r="59" spans="1:28" x14ac:dyDescent="0.25">
      <c r="A59" s="133" t="s">
        <v>338</v>
      </c>
      <c r="B59" s="225"/>
      <c r="C59" s="117"/>
      <c r="D59" s="117"/>
      <c r="E59" s="117"/>
      <c r="F59" s="117"/>
      <c r="G59" s="117"/>
      <c r="H59" s="117"/>
      <c r="I59" s="117"/>
      <c r="J59" s="117"/>
      <c r="K59" s="40"/>
      <c r="L59" s="265"/>
      <c r="M59" s="997"/>
      <c r="N59" s="997"/>
      <c r="O59" s="997"/>
      <c r="P59" s="997"/>
      <c r="Q59" s="997"/>
      <c r="R59" s="997"/>
      <c r="S59" s="997"/>
      <c r="T59" s="997"/>
      <c r="U59" s="188"/>
      <c r="V59" s="188"/>
      <c r="W59" s="188"/>
      <c r="X59" s="996">
        <f t="shared" ref="X59:X60" si="33">L59+M59+N59+O59+P59+Q59+R59+S59+T59</f>
        <v>0</v>
      </c>
      <c r="Y59" s="997">
        <f t="shared" ref="Y59:Y60" si="34">U59</f>
        <v>0</v>
      </c>
      <c r="Z59" s="109"/>
      <c r="AA59" s="40"/>
      <c r="AB59" s="1229"/>
    </row>
    <row r="60" spans="1:28" x14ac:dyDescent="0.25">
      <c r="A60" s="936" t="s">
        <v>1137</v>
      </c>
      <c r="B60" s="87"/>
      <c r="C60" s="117">
        <v>852</v>
      </c>
      <c r="D60" s="117"/>
      <c r="E60" s="117"/>
      <c r="F60" s="117"/>
      <c r="G60" s="117">
        <f>-852</f>
        <v>-852</v>
      </c>
      <c r="H60" s="52">
        <f>SUM(C60:G60)</f>
        <v>0</v>
      </c>
      <c r="I60" s="117">
        <f>H60</f>
        <v>0</v>
      </c>
      <c r="J60" s="117">
        <f>H60</f>
        <v>0</v>
      </c>
      <c r="K60" s="40">
        <f>H60</f>
        <v>0</v>
      </c>
      <c r="L60" s="265"/>
      <c r="M60" s="997"/>
      <c r="N60" s="997"/>
      <c r="O60" s="997"/>
      <c r="P60" s="997"/>
      <c r="Q60" s="997"/>
      <c r="R60" s="997"/>
      <c r="S60" s="997"/>
      <c r="T60" s="997"/>
      <c r="U60" s="188"/>
      <c r="V60" s="188"/>
      <c r="W60" s="188"/>
      <c r="X60" s="996">
        <f t="shared" si="33"/>
        <v>0</v>
      </c>
      <c r="Y60" s="997">
        <f t="shared" si="34"/>
        <v>0</v>
      </c>
      <c r="Z60" s="109">
        <f t="shared" ref="Z60" si="35">X60+Y60</f>
        <v>0</v>
      </c>
      <c r="AA60" s="989">
        <f>K60-Z60</f>
        <v>0</v>
      </c>
      <c r="AB60" s="1230">
        <f t="shared" ref="AB60" si="36">H60-Z60</f>
        <v>0</v>
      </c>
    </row>
    <row r="61" spans="1:28" x14ac:dyDescent="0.25">
      <c r="A61" s="133" t="s">
        <v>339</v>
      </c>
      <c r="B61" s="225"/>
      <c r="C61" s="123">
        <f t="shared" ref="C61:AB63" si="37">SUM(C60:C60)</f>
        <v>852</v>
      </c>
      <c r="D61" s="123">
        <f t="shared" si="37"/>
        <v>0</v>
      </c>
      <c r="E61" s="123">
        <f t="shared" si="37"/>
        <v>0</v>
      </c>
      <c r="F61" s="123">
        <f t="shared" si="37"/>
        <v>0</v>
      </c>
      <c r="G61" s="123">
        <f t="shared" si="37"/>
        <v>-852</v>
      </c>
      <c r="H61" s="123">
        <f t="shared" si="37"/>
        <v>0</v>
      </c>
      <c r="I61" s="123">
        <f t="shared" si="37"/>
        <v>0</v>
      </c>
      <c r="J61" s="123">
        <f t="shared" si="37"/>
        <v>0</v>
      </c>
      <c r="K61" s="123">
        <f t="shared" si="37"/>
        <v>0</v>
      </c>
      <c r="L61" s="78">
        <f t="shared" si="37"/>
        <v>0</v>
      </c>
      <c r="M61" s="726">
        <f t="shared" si="37"/>
        <v>0</v>
      </c>
      <c r="N61" s="726">
        <f t="shared" si="37"/>
        <v>0</v>
      </c>
      <c r="O61" s="726">
        <f t="shared" si="37"/>
        <v>0</v>
      </c>
      <c r="P61" s="726">
        <f t="shared" si="37"/>
        <v>0</v>
      </c>
      <c r="Q61" s="726">
        <f t="shared" si="37"/>
        <v>0</v>
      </c>
      <c r="R61" s="726">
        <f t="shared" si="37"/>
        <v>0</v>
      </c>
      <c r="S61" s="726">
        <f t="shared" si="37"/>
        <v>0</v>
      </c>
      <c r="T61" s="726">
        <f t="shared" si="37"/>
        <v>0</v>
      </c>
      <c r="U61" s="123">
        <f t="shared" si="37"/>
        <v>0</v>
      </c>
      <c r="V61" s="123">
        <f t="shared" si="37"/>
        <v>0</v>
      </c>
      <c r="W61" s="123">
        <f t="shared" si="37"/>
        <v>0</v>
      </c>
      <c r="X61" s="123">
        <f t="shared" si="37"/>
        <v>0</v>
      </c>
      <c r="Y61" s="123">
        <f t="shared" si="37"/>
        <v>0</v>
      </c>
      <c r="Z61" s="123">
        <f t="shared" si="37"/>
        <v>0</v>
      </c>
      <c r="AA61" s="123">
        <f t="shared" si="37"/>
        <v>0</v>
      </c>
      <c r="AB61" s="614">
        <f t="shared" si="37"/>
        <v>0</v>
      </c>
    </row>
    <row r="62" spans="1:28" x14ac:dyDescent="0.25">
      <c r="A62" s="133" t="s">
        <v>329</v>
      </c>
      <c r="B62" s="225"/>
      <c r="C62" s="117"/>
      <c r="D62" s="117"/>
      <c r="E62" s="117"/>
      <c r="F62" s="117"/>
      <c r="G62" s="117"/>
      <c r="H62" s="117"/>
      <c r="I62" s="117"/>
      <c r="J62" s="117"/>
      <c r="K62" s="40"/>
      <c r="L62" s="265"/>
      <c r="M62" s="997"/>
      <c r="N62" s="997"/>
      <c r="O62" s="997"/>
      <c r="P62" s="997"/>
      <c r="Q62" s="997"/>
      <c r="R62" s="997"/>
      <c r="S62" s="997"/>
      <c r="T62" s="997"/>
      <c r="U62" s="188"/>
      <c r="V62" s="188"/>
      <c r="W62" s="188"/>
      <c r="X62" s="188"/>
      <c r="Y62" s="188"/>
      <c r="Z62" s="109"/>
      <c r="AA62" s="40"/>
      <c r="AB62" s="1229"/>
    </row>
    <row r="63" spans="1:28" x14ac:dyDescent="0.25">
      <c r="A63" s="624" t="s">
        <v>390</v>
      </c>
      <c r="B63" s="226"/>
      <c r="C63" s="117"/>
      <c r="D63" s="117"/>
      <c r="E63" s="117"/>
      <c r="F63" s="117"/>
      <c r="G63" s="117"/>
      <c r="H63" s="52"/>
      <c r="I63" s="117"/>
      <c r="J63" s="117"/>
      <c r="K63" s="40"/>
      <c r="L63" s="265"/>
      <c r="M63" s="997"/>
      <c r="N63" s="997"/>
      <c r="O63" s="997"/>
      <c r="P63" s="997"/>
      <c r="Q63" s="997"/>
      <c r="R63" s="997"/>
      <c r="S63" s="997"/>
      <c r="T63" s="997"/>
      <c r="U63" s="188"/>
      <c r="V63" s="188"/>
      <c r="W63" s="188"/>
      <c r="X63" s="996">
        <f t="shared" ref="X63:X64" si="38">L63+M63+N63+O63+P63+Q63+R63+S63+T63</f>
        <v>0</v>
      </c>
      <c r="Y63" s="997">
        <f t="shared" ref="Y63:Y64" si="39">U63</f>
        <v>0</v>
      </c>
      <c r="Z63" s="123">
        <f t="shared" si="37"/>
        <v>0</v>
      </c>
      <c r="AA63" s="123">
        <f t="shared" si="37"/>
        <v>0</v>
      </c>
      <c r="AB63" s="614">
        <f t="shared" si="37"/>
        <v>0</v>
      </c>
    </row>
    <row r="64" spans="1:28" x14ac:dyDescent="0.25">
      <c r="A64" s="625" t="s">
        <v>742</v>
      </c>
      <c r="B64" s="226" t="s">
        <v>113</v>
      </c>
      <c r="C64" s="117">
        <v>35000</v>
      </c>
      <c r="D64" s="117"/>
      <c r="E64" s="117"/>
      <c r="F64" s="117"/>
      <c r="G64" s="117"/>
      <c r="H64" s="720">
        <f>SUM(C64:G64)</f>
        <v>35000</v>
      </c>
      <c r="I64" s="117">
        <f>H64</f>
        <v>35000</v>
      </c>
      <c r="J64" s="117">
        <f>H64</f>
        <v>35000</v>
      </c>
      <c r="K64" s="40">
        <f>H64</f>
        <v>35000</v>
      </c>
      <c r="L64" s="265"/>
      <c r="M64" s="997"/>
      <c r="N64" s="997"/>
      <c r="O64" s="997"/>
      <c r="P64" s="997"/>
      <c r="Q64" s="997"/>
      <c r="R64" s="997"/>
      <c r="S64" s="997">
        <v>34800</v>
      </c>
      <c r="T64" s="997"/>
      <c r="U64" s="188"/>
      <c r="V64" s="188"/>
      <c r="W64" s="188"/>
      <c r="X64" s="996">
        <f t="shared" si="38"/>
        <v>34800</v>
      </c>
      <c r="Y64" s="997">
        <f t="shared" si="39"/>
        <v>0</v>
      </c>
      <c r="Z64" s="109">
        <f>X64+Y64</f>
        <v>34800</v>
      </c>
      <c r="AA64" s="989">
        <f>K64-Z64</f>
        <v>200</v>
      </c>
      <c r="AB64" s="1230">
        <f t="shared" ref="AB64" si="40">H64-Z64</f>
        <v>200</v>
      </c>
    </row>
    <row r="65" spans="1:28" x14ac:dyDescent="0.25">
      <c r="A65" s="133" t="s">
        <v>328</v>
      </c>
      <c r="B65" s="133"/>
      <c r="C65" s="123">
        <f t="shared" ref="C65:AB65" si="41">SUM(C64:C64)</f>
        <v>35000</v>
      </c>
      <c r="D65" s="123">
        <f t="shared" ref="D65" si="42">SUM(D64:D64)</f>
        <v>0</v>
      </c>
      <c r="E65" s="123">
        <f t="shared" ref="E65" si="43">SUM(E64:E64)</f>
        <v>0</v>
      </c>
      <c r="F65" s="123">
        <f t="shared" si="41"/>
        <v>0</v>
      </c>
      <c r="G65" s="123">
        <f t="shared" si="41"/>
        <v>0</v>
      </c>
      <c r="H65" s="123">
        <f t="shared" si="41"/>
        <v>35000</v>
      </c>
      <c r="I65" s="123">
        <f t="shared" si="41"/>
        <v>35000</v>
      </c>
      <c r="J65" s="123">
        <f t="shared" si="41"/>
        <v>35000</v>
      </c>
      <c r="K65" s="123">
        <f t="shared" si="41"/>
        <v>35000</v>
      </c>
      <c r="L65" s="123">
        <f t="shared" si="41"/>
        <v>0</v>
      </c>
      <c r="M65" s="726">
        <f t="shared" si="41"/>
        <v>0</v>
      </c>
      <c r="N65" s="726">
        <f t="shared" si="41"/>
        <v>0</v>
      </c>
      <c r="O65" s="726">
        <f t="shared" si="41"/>
        <v>0</v>
      </c>
      <c r="P65" s="726">
        <f t="shared" si="41"/>
        <v>0</v>
      </c>
      <c r="Q65" s="726">
        <f t="shared" si="41"/>
        <v>0</v>
      </c>
      <c r="R65" s="726">
        <f t="shared" si="41"/>
        <v>0</v>
      </c>
      <c r="S65" s="726">
        <f t="shared" si="41"/>
        <v>34800</v>
      </c>
      <c r="T65" s="726">
        <f t="shared" si="41"/>
        <v>0</v>
      </c>
      <c r="U65" s="123">
        <f t="shared" si="41"/>
        <v>0</v>
      </c>
      <c r="V65" s="123">
        <f t="shared" si="41"/>
        <v>0</v>
      </c>
      <c r="W65" s="123">
        <f t="shared" si="41"/>
        <v>0</v>
      </c>
      <c r="X65" s="123">
        <f t="shared" si="41"/>
        <v>34800</v>
      </c>
      <c r="Y65" s="123">
        <f t="shared" si="41"/>
        <v>0</v>
      </c>
      <c r="Z65" s="123">
        <f t="shared" si="41"/>
        <v>34800</v>
      </c>
      <c r="AA65" s="123">
        <f t="shared" si="41"/>
        <v>200</v>
      </c>
      <c r="AB65" s="614">
        <f t="shared" si="41"/>
        <v>200</v>
      </c>
    </row>
    <row r="66" spans="1:28" x14ac:dyDescent="0.25">
      <c r="A66" s="133" t="s">
        <v>119</v>
      </c>
      <c r="B66" s="133"/>
      <c r="C66" s="123">
        <f t="shared" ref="C66:AB66" si="44">C61+C65</f>
        <v>35852</v>
      </c>
      <c r="D66" s="123">
        <f t="shared" ref="D66" si="45">D61+D65</f>
        <v>0</v>
      </c>
      <c r="E66" s="123">
        <f t="shared" ref="E66" si="46">E61+E65</f>
        <v>0</v>
      </c>
      <c r="F66" s="123">
        <f t="shared" si="44"/>
        <v>0</v>
      </c>
      <c r="G66" s="123">
        <f t="shared" si="44"/>
        <v>-852</v>
      </c>
      <c r="H66" s="123">
        <f t="shared" si="44"/>
        <v>35000</v>
      </c>
      <c r="I66" s="123">
        <f t="shared" si="44"/>
        <v>35000</v>
      </c>
      <c r="J66" s="123">
        <f t="shared" si="44"/>
        <v>35000</v>
      </c>
      <c r="K66" s="123">
        <f t="shared" si="44"/>
        <v>35000</v>
      </c>
      <c r="L66" s="123">
        <f t="shared" si="44"/>
        <v>0</v>
      </c>
      <c r="M66" s="726">
        <f t="shared" si="44"/>
        <v>0</v>
      </c>
      <c r="N66" s="726">
        <f t="shared" si="44"/>
        <v>0</v>
      </c>
      <c r="O66" s="726">
        <f t="shared" si="44"/>
        <v>0</v>
      </c>
      <c r="P66" s="726">
        <f t="shared" si="44"/>
        <v>0</v>
      </c>
      <c r="Q66" s="726">
        <f t="shared" si="44"/>
        <v>0</v>
      </c>
      <c r="R66" s="726">
        <f t="shared" si="44"/>
        <v>0</v>
      </c>
      <c r="S66" s="726">
        <f t="shared" si="44"/>
        <v>34800</v>
      </c>
      <c r="T66" s="726">
        <f t="shared" si="44"/>
        <v>0</v>
      </c>
      <c r="U66" s="123">
        <f t="shared" si="44"/>
        <v>0</v>
      </c>
      <c r="V66" s="123">
        <f t="shared" si="44"/>
        <v>0</v>
      </c>
      <c r="W66" s="123">
        <f t="shared" si="44"/>
        <v>0</v>
      </c>
      <c r="X66" s="123">
        <f t="shared" si="44"/>
        <v>34800</v>
      </c>
      <c r="Y66" s="123">
        <f t="shared" si="44"/>
        <v>0</v>
      </c>
      <c r="Z66" s="123">
        <f t="shared" si="44"/>
        <v>34800</v>
      </c>
      <c r="AA66" s="123">
        <f t="shared" si="44"/>
        <v>200</v>
      </c>
      <c r="AB66" s="614">
        <f t="shared" si="44"/>
        <v>200</v>
      </c>
    </row>
    <row r="67" spans="1:28" ht="15.75" thickBot="1" x14ac:dyDescent="0.3">
      <c r="A67" s="209" t="s">
        <v>160</v>
      </c>
      <c r="B67" s="209"/>
      <c r="C67" s="615">
        <f t="shared" ref="C67:AB67" si="47">+C66+C57+C30</f>
        <v>3383205.63</v>
      </c>
      <c r="D67" s="615">
        <f t="shared" ref="D67" si="48">+D66+D57+D30</f>
        <v>0</v>
      </c>
      <c r="E67" s="615">
        <f t="shared" ref="E67" si="49">+E66+E57+E30</f>
        <v>5060</v>
      </c>
      <c r="F67" s="615">
        <f t="shared" si="47"/>
        <v>0</v>
      </c>
      <c r="G67" s="615">
        <f t="shared" si="47"/>
        <v>-852</v>
      </c>
      <c r="H67" s="615">
        <f t="shared" si="47"/>
        <v>3387413.63</v>
      </c>
      <c r="I67" s="615">
        <f t="shared" si="47"/>
        <v>2552310.2225000001</v>
      </c>
      <c r="J67" s="615">
        <f t="shared" si="47"/>
        <v>314367.80250000011</v>
      </c>
      <c r="K67" s="615">
        <f t="shared" si="47"/>
        <v>2831678.0249999999</v>
      </c>
      <c r="L67" s="615">
        <f t="shared" si="47"/>
        <v>211463.61</v>
      </c>
      <c r="M67" s="324">
        <f t="shared" si="47"/>
        <v>237578.87</v>
      </c>
      <c r="N67" s="324">
        <f t="shared" si="47"/>
        <v>230478.34999999998</v>
      </c>
      <c r="O67" s="324">
        <f t="shared" si="47"/>
        <v>235494.88</v>
      </c>
      <c r="P67" s="324">
        <f t="shared" si="47"/>
        <v>359133.61999999994</v>
      </c>
      <c r="Q67" s="324">
        <f t="shared" si="47"/>
        <v>223519.24000000002</v>
      </c>
      <c r="R67" s="324">
        <f t="shared" si="47"/>
        <v>292761.59000000003</v>
      </c>
      <c r="S67" s="324">
        <f t="shared" si="47"/>
        <v>273649.69</v>
      </c>
      <c r="T67" s="324">
        <f t="shared" si="47"/>
        <v>247744.16000000003</v>
      </c>
      <c r="U67" s="615">
        <f t="shared" si="47"/>
        <v>242151.37000000002</v>
      </c>
      <c r="V67" s="615">
        <f t="shared" si="47"/>
        <v>0</v>
      </c>
      <c r="W67" s="615">
        <f t="shared" si="47"/>
        <v>0</v>
      </c>
      <c r="X67" s="615">
        <f t="shared" si="47"/>
        <v>2311824.0099999998</v>
      </c>
      <c r="Y67" s="615">
        <f t="shared" si="47"/>
        <v>242151.37000000002</v>
      </c>
      <c r="Z67" s="615">
        <f t="shared" si="47"/>
        <v>2553975.38</v>
      </c>
      <c r="AA67" s="615">
        <f t="shared" si="47"/>
        <v>277702.64500000014</v>
      </c>
      <c r="AB67" s="1330">
        <f t="shared" si="47"/>
        <v>833438.25000000012</v>
      </c>
    </row>
    <row r="68" spans="1:28" ht="15.75" thickTop="1" x14ac:dyDescent="0.25">
      <c r="A68" s="13"/>
      <c r="B68" s="13"/>
      <c r="C68" s="33"/>
      <c r="D68" s="33"/>
      <c r="E68" s="33"/>
      <c r="F68" s="33"/>
      <c r="G68" s="33"/>
      <c r="H68" s="33"/>
      <c r="I68" s="33"/>
      <c r="J68" s="33"/>
      <c r="K68" s="33"/>
      <c r="L68" s="454"/>
      <c r="M68" s="748"/>
      <c r="N68" s="748"/>
      <c r="O68" s="748"/>
      <c r="P68" s="748"/>
      <c r="Q68" s="748"/>
      <c r="R68" s="748"/>
      <c r="S68" s="748"/>
      <c r="T68" s="748"/>
      <c r="U68" s="33"/>
      <c r="V68" s="33"/>
      <c r="W68" s="33"/>
      <c r="X68" s="33"/>
      <c r="Y68" s="33"/>
      <c r="Z68" s="33"/>
      <c r="AA68" s="33"/>
      <c r="AB68" s="1331"/>
    </row>
    <row r="69" spans="1:28" x14ac:dyDescent="0.25">
      <c r="A69" s="13"/>
      <c r="B69" s="13"/>
      <c r="C69" s="33"/>
      <c r="D69" s="33"/>
      <c r="E69" s="33"/>
      <c r="F69" s="33"/>
      <c r="G69" s="33"/>
      <c r="H69" s="33"/>
      <c r="I69" s="33"/>
      <c r="J69" s="33"/>
      <c r="K69" s="33"/>
      <c r="L69" s="454"/>
      <c r="M69" s="748"/>
      <c r="N69" s="748"/>
      <c r="O69" s="748"/>
      <c r="P69" s="748"/>
      <c r="Q69" s="748"/>
      <c r="R69" s="748"/>
      <c r="S69" s="748"/>
      <c r="T69" s="748"/>
      <c r="U69" s="33"/>
      <c r="V69" s="33"/>
      <c r="W69" s="33"/>
      <c r="X69" s="33"/>
      <c r="Y69" s="33"/>
      <c r="Z69" s="33"/>
      <c r="AA69" s="33"/>
      <c r="AB69" s="1331"/>
    </row>
    <row r="70" spans="1:28" ht="14.25" customHeight="1" x14ac:dyDescent="0.25">
      <c r="A70" s="21" t="s">
        <v>354</v>
      </c>
      <c r="B70" s="30"/>
      <c r="C70" s="35"/>
      <c r="D70" s="35"/>
      <c r="E70" s="35"/>
      <c r="F70" s="35"/>
      <c r="G70" s="35"/>
      <c r="H70" s="35"/>
      <c r="I70" s="35"/>
      <c r="J70" s="35"/>
      <c r="AA70" s="259" t="s">
        <v>357</v>
      </c>
    </row>
    <row r="71" spans="1:28" s="712" customFormat="1" x14ac:dyDescent="0.25">
      <c r="B71" s="30"/>
      <c r="C71" s="35"/>
      <c r="D71" s="35"/>
      <c r="E71" s="35"/>
      <c r="F71" s="35"/>
      <c r="G71" s="35"/>
      <c r="H71" s="35"/>
      <c r="I71" s="35"/>
      <c r="J71" s="35"/>
      <c r="L71" s="303"/>
      <c r="M71" s="303"/>
      <c r="N71" s="303"/>
      <c r="O71" s="303"/>
      <c r="P71" s="303"/>
      <c r="Q71" s="303"/>
      <c r="R71" s="303"/>
      <c r="S71" s="303"/>
      <c r="T71" s="303"/>
      <c r="AA71" s="743"/>
      <c r="AB71" s="1090"/>
    </row>
    <row r="72" spans="1:28" s="712" customFormat="1" x14ac:dyDescent="0.25">
      <c r="B72" s="30"/>
      <c r="C72" s="35"/>
      <c r="D72" s="35"/>
      <c r="E72" s="35"/>
      <c r="F72" s="35"/>
      <c r="G72" s="35"/>
      <c r="H72" s="35"/>
      <c r="I72" s="35"/>
      <c r="J72" s="35"/>
      <c r="L72" s="303"/>
      <c r="M72" s="303"/>
      <c r="N72" s="303"/>
      <c r="O72" s="303"/>
      <c r="P72" s="303"/>
      <c r="Q72" s="303"/>
      <c r="R72" s="303"/>
      <c r="S72" s="303"/>
      <c r="T72" s="303"/>
      <c r="AA72" s="743"/>
      <c r="AB72" s="1090"/>
    </row>
    <row r="73" spans="1:28" x14ac:dyDescent="0.25">
      <c r="B73" s="32"/>
      <c r="C73" s="36"/>
      <c r="D73" s="36"/>
      <c r="E73" s="36"/>
      <c r="F73" s="36"/>
      <c r="G73" s="36"/>
      <c r="H73" s="36"/>
      <c r="I73" s="36"/>
      <c r="J73" s="36"/>
    </row>
    <row r="74" spans="1:28" x14ac:dyDescent="0.25">
      <c r="A74" s="258" t="s">
        <v>355</v>
      </c>
      <c r="B74" s="14"/>
      <c r="C74" s="31"/>
      <c r="D74" s="31"/>
      <c r="E74" s="31"/>
      <c r="F74" s="31"/>
      <c r="G74" s="31"/>
      <c r="H74" s="31"/>
      <c r="I74" s="31"/>
      <c r="J74" s="31"/>
      <c r="AA74" s="260" t="s">
        <v>358</v>
      </c>
    </row>
    <row r="75" spans="1:28" x14ac:dyDescent="0.25">
      <c r="A75" s="259" t="s">
        <v>356</v>
      </c>
      <c r="AA75" s="259" t="s">
        <v>359</v>
      </c>
    </row>
    <row r="76" spans="1:28" x14ac:dyDescent="0.25">
      <c r="A76" s="13"/>
      <c r="B76" s="13"/>
      <c r="C76" s="33"/>
      <c r="D76" s="33"/>
      <c r="E76" s="33"/>
      <c r="F76" s="33"/>
      <c r="G76" s="33"/>
      <c r="H76" s="33"/>
      <c r="I76" s="33"/>
      <c r="J76" s="33"/>
      <c r="K76" s="33"/>
      <c r="L76" s="454"/>
      <c r="M76" s="748"/>
      <c r="N76" s="748"/>
      <c r="O76" s="748"/>
      <c r="P76" s="748"/>
      <c r="Q76" s="748"/>
      <c r="R76" s="748"/>
      <c r="S76" s="748"/>
      <c r="T76" s="748"/>
      <c r="U76" s="33"/>
      <c r="V76" s="33"/>
      <c r="W76" s="33"/>
      <c r="X76" s="33"/>
      <c r="Y76" s="33"/>
      <c r="Z76" s="33"/>
      <c r="AA76" s="33"/>
      <c r="AB76" s="1331"/>
    </row>
    <row r="77" spans="1:28" x14ac:dyDescent="0.25">
      <c r="A77" s="13"/>
      <c r="B77" s="13"/>
      <c r="C77" s="33"/>
      <c r="D77" s="33"/>
      <c r="E77" s="33"/>
      <c r="F77" s="33"/>
      <c r="G77" s="33"/>
      <c r="H77" s="33"/>
      <c r="I77" s="33"/>
      <c r="J77" s="33"/>
      <c r="K77" s="33"/>
      <c r="L77" s="454"/>
      <c r="M77" s="748"/>
      <c r="N77" s="748"/>
      <c r="O77" s="748"/>
      <c r="P77" s="748"/>
      <c r="Q77" s="748"/>
      <c r="R77" s="748"/>
      <c r="S77" s="748"/>
      <c r="T77" s="748"/>
      <c r="U77" s="33"/>
      <c r="V77" s="33"/>
      <c r="W77" s="33"/>
      <c r="X77" s="33"/>
      <c r="Y77" s="33"/>
      <c r="Z77" s="33"/>
      <c r="AA77" s="33"/>
      <c r="AB77" s="1331"/>
    </row>
    <row r="78" spans="1:28" x14ac:dyDescent="0.25">
      <c r="A78" s="13"/>
      <c r="B78" s="13"/>
      <c r="C78" s="33"/>
      <c r="D78" s="33"/>
      <c r="E78" s="33"/>
      <c r="F78" s="33"/>
      <c r="G78" s="33"/>
      <c r="H78" s="33"/>
      <c r="I78" s="33"/>
      <c r="J78" s="33"/>
      <c r="K78" s="33"/>
      <c r="L78" s="454"/>
      <c r="M78" s="748"/>
      <c r="N78" s="748"/>
      <c r="O78" s="748"/>
      <c r="P78" s="748"/>
      <c r="Q78" s="748"/>
      <c r="R78" s="748"/>
      <c r="S78" s="748"/>
      <c r="T78" s="748"/>
      <c r="U78" s="33"/>
      <c r="V78" s="33"/>
      <c r="W78" s="33"/>
      <c r="X78" s="33"/>
      <c r="Y78" s="33"/>
      <c r="Z78" s="33"/>
      <c r="AA78" s="33"/>
      <c r="AB78" s="1331"/>
    </row>
    <row r="79" spans="1:28" x14ac:dyDescent="0.25">
      <c r="A79" s="13"/>
      <c r="B79" s="13"/>
      <c r="C79" s="33"/>
      <c r="D79" s="33"/>
      <c r="E79" s="33"/>
      <c r="F79" s="33"/>
      <c r="G79" s="33"/>
      <c r="H79" s="33"/>
      <c r="I79" s="33"/>
      <c r="J79" s="33"/>
      <c r="K79" s="33"/>
      <c r="L79" s="454"/>
      <c r="M79" s="748"/>
      <c r="N79" s="748"/>
      <c r="O79" s="748"/>
      <c r="P79" s="748"/>
      <c r="Q79" s="748"/>
      <c r="R79" s="748"/>
      <c r="S79" s="748"/>
      <c r="T79" s="748"/>
      <c r="U79" s="33"/>
      <c r="V79" s="33"/>
      <c r="W79" s="33"/>
      <c r="X79" s="33"/>
      <c r="Y79" s="33"/>
      <c r="Z79" s="33"/>
      <c r="AA79" s="33"/>
      <c r="AB79" s="1331"/>
    </row>
    <row r="80" spans="1:28" x14ac:dyDescent="0.25">
      <c r="A80" s="1432" t="s">
        <v>352</v>
      </c>
      <c r="B80" s="1432"/>
      <c r="C80" s="1432"/>
      <c r="D80" s="1432"/>
      <c r="E80" s="1432"/>
      <c r="F80" s="1432"/>
      <c r="G80" s="1432"/>
      <c r="H80" s="1432"/>
      <c r="I80" s="1432"/>
      <c r="J80" s="1432"/>
      <c r="K80" s="1432"/>
      <c r="L80" s="1432"/>
      <c r="M80" s="1432"/>
      <c r="N80" s="1432"/>
      <c r="O80" s="1432"/>
      <c r="P80" s="1432"/>
      <c r="Q80" s="1432"/>
      <c r="R80" s="1432"/>
      <c r="S80" s="1432"/>
      <c r="T80" s="1432"/>
      <c r="U80" s="1432"/>
      <c r="V80" s="1432"/>
      <c r="W80" s="1432"/>
      <c r="X80" s="1432"/>
      <c r="Y80" s="1432"/>
      <c r="Z80" s="1432"/>
      <c r="AA80" s="1432"/>
      <c r="AB80" s="1432"/>
    </row>
    <row r="81" spans="1:28" x14ac:dyDescent="0.25">
      <c r="A81" s="1432" t="s">
        <v>353</v>
      </c>
      <c r="B81" s="1432"/>
      <c r="C81" s="1432"/>
      <c r="D81" s="1432"/>
      <c r="E81" s="1432"/>
      <c r="F81" s="1432"/>
      <c r="G81" s="1432"/>
      <c r="H81" s="1432"/>
      <c r="I81" s="1432"/>
      <c r="J81" s="1432"/>
      <c r="K81" s="1432"/>
      <c r="L81" s="1432"/>
      <c r="M81" s="1432"/>
      <c r="N81" s="1432"/>
      <c r="O81" s="1432"/>
      <c r="P81" s="1432"/>
      <c r="Q81" s="1432"/>
      <c r="R81" s="1432"/>
      <c r="S81" s="1432"/>
      <c r="T81" s="1432"/>
      <c r="U81" s="1432"/>
      <c r="V81" s="1432"/>
      <c r="W81" s="1432"/>
      <c r="X81" s="1432"/>
      <c r="Y81" s="1432"/>
      <c r="Z81" s="1432"/>
      <c r="AA81" s="1432"/>
      <c r="AB81" s="1432"/>
    </row>
    <row r="82" spans="1:28" x14ac:dyDescent="0.25">
      <c r="A82" s="1434" t="str">
        <f>A3</f>
        <v>For the Period October 1-31, 2021</v>
      </c>
      <c r="B82" s="1434"/>
      <c r="C82" s="1434"/>
      <c r="D82" s="1434"/>
      <c r="E82" s="1434"/>
      <c r="F82" s="1434"/>
      <c r="G82" s="1434"/>
      <c r="H82" s="1434"/>
      <c r="I82" s="1434"/>
      <c r="J82" s="1434"/>
      <c r="K82" s="1434"/>
      <c r="L82" s="1434"/>
      <c r="M82" s="1434"/>
      <c r="N82" s="1434"/>
      <c r="O82" s="1434"/>
      <c r="P82" s="1434"/>
      <c r="Q82" s="1434"/>
      <c r="R82" s="1434"/>
      <c r="S82" s="1434"/>
      <c r="T82" s="1434"/>
      <c r="U82" s="1434"/>
      <c r="V82" s="1434"/>
      <c r="W82" s="1434"/>
      <c r="X82" s="1434"/>
      <c r="Y82" s="1434"/>
      <c r="Z82" s="1434"/>
      <c r="AA82" s="1434"/>
      <c r="AB82" s="1434"/>
    </row>
    <row r="83" spans="1:28" ht="26.25" x14ac:dyDescent="0.25">
      <c r="A83" s="964" t="s">
        <v>270</v>
      </c>
      <c r="B83" s="973"/>
      <c r="C83" s="974"/>
      <c r="D83" s="1073" t="s">
        <v>1204</v>
      </c>
      <c r="E83" s="1073" t="s">
        <v>1204</v>
      </c>
      <c r="F83" s="1073" t="s">
        <v>1204</v>
      </c>
      <c r="G83" s="1073" t="s">
        <v>1204</v>
      </c>
      <c r="H83" s="974"/>
      <c r="I83" s="966"/>
      <c r="J83" s="974"/>
      <c r="K83" s="73"/>
      <c r="L83" s="967"/>
      <c r="M83" s="967"/>
      <c r="N83" s="967"/>
      <c r="O83" s="967"/>
      <c r="P83" s="967"/>
      <c r="Q83" s="967"/>
      <c r="R83" s="967"/>
      <c r="S83" s="967"/>
      <c r="T83" s="967"/>
      <c r="U83" s="968"/>
      <c r="V83" s="968"/>
      <c r="W83" s="968"/>
      <c r="X83" s="968"/>
      <c r="Y83" s="877"/>
      <c r="Z83" s="877"/>
      <c r="AA83" s="877"/>
      <c r="AB83" s="1332"/>
    </row>
    <row r="84" spans="1:28" x14ac:dyDescent="0.25">
      <c r="A84" s="965" t="s">
        <v>347</v>
      </c>
      <c r="B84" s="721" t="s">
        <v>2</v>
      </c>
      <c r="C84" s="721" t="s">
        <v>133</v>
      </c>
      <c r="D84" s="1009" t="s">
        <v>1397</v>
      </c>
      <c r="E84" s="1009" t="s">
        <v>1354</v>
      </c>
      <c r="F84" s="1009" t="s">
        <v>1329</v>
      </c>
      <c r="G84" s="1009" t="s">
        <v>1184</v>
      </c>
      <c r="H84" s="721" t="s">
        <v>1</v>
      </c>
      <c r="I84" s="969" t="s">
        <v>316</v>
      </c>
      <c r="J84" s="721" t="s">
        <v>314</v>
      </c>
      <c r="K84" s="722" t="s">
        <v>346</v>
      </c>
      <c r="L84" s="971"/>
      <c r="M84" s="971"/>
      <c r="N84" s="971"/>
      <c r="O84" s="971"/>
      <c r="P84" s="972"/>
      <c r="Q84" s="972"/>
      <c r="R84" s="972"/>
      <c r="S84" s="972"/>
      <c r="T84" s="972"/>
      <c r="U84" s="972"/>
      <c r="V84" s="972"/>
      <c r="W84" s="972"/>
      <c r="X84" s="970" t="s">
        <v>316</v>
      </c>
      <c r="Y84" s="722" t="s">
        <v>348</v>
      </c>
      <c r="Z84" s="722" t="s">
        <v>1</v>
      </c>
      <c r="AA84" s="722" t="s">
        <v>131</v>
      </c>
      <c r="AB84" s="1333" t="s">
        <v>131</v>
      </c>
    </row>
    <row r="85" spans="1:28" x14ac:dyDescent="0.25">
      <c r="A85" s="38"/>
      <c r="B85" s="721" t="s">
        <v>3</v>
      </c>
      <c r="C85" s="721" t="s">
        <v>134</v>
      </c>
      <c r="D85" s="721"/>
      <c r="E85" s="721"/>
      <c r="F85" s="721"/>
      <c r="G85" s="721"/>
      <c r="H85" s="721" t="s">
        <v>314</v>
      </c>
      <c r="I85" s="721" t="s">
        <v>314</v>
      </c>
      <c r="J85" s="721" t="s">
        <v>315</v>
      </c>
      <c r="K85" s="722" t="s">
        <v>315</v>
      </c>
      <c r="L85" s="722" t="s">
        <v>0</v>
      </c>
      <c r="M85" s="722" t="s">
        <v>120</v>
      </c>
      <c r="N85" s="722" t="s">
        <v>121</v>
      </c>
      <c r="O85" s="722" t="s">
        <v>122</v>
      </c>
      <c r="P85" s="722" t="s">
        <v>123</v>
      </c>
      <c r="Q85" s="722" t="s">
        <v>124</v>
      </c>
      <c r="R85" s="722" t="s">
        <v>125</v>
      </c>
      <c r="S85" s="722" t="s">
        <v>126</v>
      </c>
      <c r="T85" s="722" t="s">
        <v>127</v>
      </c>
      <c r="U85" s="722" t="s">
        <v>128</v>
      </c>
      <c r="V85" s="722" t="s">
        <v>129</v>
      </c>
      <c r="W85" s="722" t="s">
        <v>130</v>
      </c>
      <c r="X85" s="722" t="s">
        <v>317</v>
      </c>
      <c r="Y85" s="722" t="s">
        <v>315</v>
      </c>
      <c r="Z85" s="722" t="s">
        <v>317</v>
      </c>
      <c r="AA85" s="722" t="s">
        <v>314</v>
      </c>
      <c r="AB85" s="757" t="s">
        <v>132</v>
      </c>
    </row>
    <row r="86" spans="1:28" x14ac:dyDescent="0.25">
      <c r="A86" s="822" t="s">
        <v>700</v>
      </c>
      <c r="B86" s="676"/>
      <c r="C86" s="117"/>
      <c r="D86" s="117"/>
      <c r="E86" s="117"/>
      <c r="F86" s="117"/>
      <c r="G86" s="117"/>
      <c r="H86" s="117"/>
      <c r="I86" s="117"/>
      <c r="J86" s="117"/>
      <c r="K86" s="937"/>
      <c r="L86" s="695"/>
      <c r="M86" s="997"/>
      <c r="N86" s="997"/>
      <c r="O86" s="997"/>
      <c r="P86" s="997"/>
      <c r="Q86" s="997"/>
      <c r="R86" s="997"/>
      <c r="S86" s="997"/>
      <c r="T86" s="997"/>
      <c r="U86" s="937"/>
      <c r="V86" s="937"/>
      <c r="W86" s="937"/>
      <c r="X86" s="937"/>
      <c r="Y86" s="937"/>
      <c r="Z86" s="937"/>
      <c r="AA86" s="937"/>
      <c r="AB86" s="1229"/>
    </row>
    <row r="87" spans="1:28" x14ac:dyDescent="0.25">
      <c r="A87" s="354" t="s">
        <v>1043</v>
      </c>
      <c r="B87" s="676"/>
      <c r="C87" s="117"/>
      <c r="D87" s="117"/>
      <c r="E87" s="117"/>
      <c r="F87" s="117"/>
      <c r="G87" s="117"/>
      <c r="H87" s="720"/>
      <c r="I87" s="117"/>
      <c r="J87" s="720">
        <f t="shared" ref="J87" si="50">H87/12</f>
        <v>0</v>
      </c>
      <c r="K87" s="716">
        <f t="shared" ref="K87" si="51">I87+J87</f>
        <v>0</v>
      </c>
      <c r="L87" s="695"/>
      <c r="M87" s="997"/>
      <c r="N87" s="997"/>
      <c r="O87" s="997"/>
      <c r="P87" s="997"/>
      <c r="Q87" s="997"/>
      <c r="R87" s="997"/>
      <c r="S87" s="997"/>
      <c r="T87" s="997"/>
      <c r="U87" s="937"/>
      <c r="V87" s="937"/>
      <c r="W87" s="937"/>
      <c r="X87" s="996">
        <f t="shared" ref="X87:X133" si="52">L87+M87+N87+O87+P87+Q87+R87+S87+T87</f>
        <v>0</v>
      </c>
      <c r="Y87" s="997">
        <f t="shared" ref="Y87:Y133" si="53">U87</f>
        <v>0</v>
      </c>
      <c r="Z87" s="732">
        <f>X87+Y87</f>
        <v>0</v>
      </c>
      <c r="AA87" s="989">
        <f t="shared" ref="AA87:AA133" si="54">K87-Z87</f>
        <v>0</v>
      </c>
      <c r="AB87" s="1230">
        <f t="shared" ref="AB87:AB133" si="55">H87-Z87</f>
        <v>0</v>
      </c>
    </row>
    <row r="88" spans="1:28" x14ac:dyDescent="0.25">
      <c r="A88" s="796" t="s">
        <v>1044</v>
      </c>
      <c r="B88" s="676"/>
      <c r="C88" s="117"/>
      <c r="D88" s="117"/>
      <c r="E88" s="117"/>
      <c r="F88" s="117"/>
      <c r="G88" s="117"/>
      <c r="H88" s="720"/>
      <c r="I88" s="117"/>
      <c r="J88" s="720">
        <f t="shared" ref="J88:J133" si="56">H88/12</f>
        <v>0</v>
      </c>
      <c r="K88" s="989">
        <f t="shared" ref="K88:K133" si="57">I88+J88</f>
        <v>0</v>
      </c>
      <c r="L88" s="695"/>
      <c r="M88" s="997"/>
      <c r="N88" s="997"/>
      <c r="O88" s="997"/>
      <c r="P88" s="997"/>
      <c r="Q88" s="997"/>
      <c r="R88" s="997"/>
      <c r="S88" s="997"/>
      <c r="T88" s="997"/>
      <c r="U88" s="937"/>
      <c r="V88" s="937"/>
      <c r="W88" s="937"/>
      <c r="X88" s="996">
        <f t="shared" si="52"/>
        <v>0</v>
      </c>
      <c r="Y88" s="997">
        <f t="shared" si="53"/>
        <v>0</v>
      </c>
      <c r="Z88" s="990">
        <f t="shared" ref="Z88:Z132" si="58">X88+Y88</f>
        <v>0</v>
      </c>
      <c r="AA88" s="989">
        <f t="shared" si="54"/>
        <v>0</v>
      </c>
      <c r="AB88" s="1230">
        <f t="shared" si="55"/>
        <v>0</v>
      </c>
    </row>
    <row r="89" spans="1:28" s="1090" customFormat="1" x14ac:dyDescent="0.25">
      <c r="A89" s="537" t="s">
        <v>1046</v>
      </c>
      <c r="B89" s="683"/>
      <c r="C89" s="1227"/>
      <c r="D89" s="1227"/>
      <c r="E89" s="1227"/>
      <c r="F89" s="1227"/>
      <c r="G89" s="1227"/>
      <c r="H89" s="677">
        <f t="shared" ref="H89:H133" si="59">SUM(C89:G89)</f>
        <v>0</v>
      </c>
      <c r="I89" s="720">
        <f t="shared" ref="I89:I133" si="60">H89/12*9</f>
        <v>0</v>
      </c>
      <c r="J89" s="677">
        <f t="shared" si="56"/>
        <v>0</v>
      </c>
      <c r="K89" s="677">
        <f t="shared" si="57"/>
        <v>0</v>
      </c>
      <c r="L89" s="1228"/>
      <c r="M89" s="1228"/>
      <c r="N89" s="1228"/>
      <c r="O89" s="1228"/>
      <c r="P89" s="1228"/>
      <c r="Q89" s="1228"/>
      <c r="R89" s="1228"/>
      <c r="S89" s="1228"/>
      <c r="T89" s="1228"/>
      <c r="U89" s="1229"/>
      <c r="V89" s="1229"/>
      <c r="W89" s="1229"/>
      <c r="X89" s="996">
        <f t="shared" si="52"/>
        <v>0</v>
      </c>
      <c r="Y89" s="997">
        <f t="shared" si="53"/>
        <v>0</v>
      </c>
      <c r="Z89" s="677">
        <f t="shared" si="58"/>
        <v>0</v>
      </c>
      <c r="AA89" s="677">
        <f t="shared" si="54"/>
        <v>0</v>
      </c>
      <c r="AB89" s="1230">
        <f t="shared" si="55"/>
        <v>0</v>
      </c>
    </row>
    <row r="90" spans="1:28" s="1090" customFormat="1" x14ac:dyDescent="0.25">
      <c r="A90" s="1231" t="s">
        <v>1047</v>
      </c>
      <c r="B90" s="683"/>
      <c r="C90" s="113">
        <v>50000</v>
      </c>
      <c r="D90" s="113"/>
      <c r="E90" s="113"/>
      <c r="F90" s="113"/>
      <c r="G90" s="113"/>
      <c r="H90" s="677">
        <f>SUM(C90:G90)</f>
        <v>50000</v>
      </c>
      <c r="I90" s="720">
        <f t="shared" si="60"/>
        <v>37500</v>
      </c>
      <c r="J90" s="677">
        <f t="shared" si="56"/>
        <v>4166.666666666667</v>
      </c>
      <c r="K90" s="677">
        <f t="shared" si="57"/>
        <v>41666.666666666664</v>
      </c>
      <c r="L90" s="677"/>
      <c r="M90" s="677">
        <v>5500</v>
      </c>
      <c r="N90" s="677">
        <v>4200</v>
      </c>
      <c r="O90" s="677">
        <v>5000</v>
      </c>
      <c r="P90" s="677">
        <v>2700</v>
      </c>
      <c r="Q90" s="677">
        <v>4000</v>
      </c>
      <c r="R90" s="677">
        <f>10500+1500</f>
        <v>12000</v>
      </c>
      <c r="S90" s="677">
        <v>5500</v>
      </c>
      <c r="T90" s="677"/>
      <c r="U90" s="1232">
        <v>6200</v>
      </c>
      <c r="V90" s="1232"/>
      <c r="W90" s="1232"/>
      <c r="X90" s="996">
        <f t="shared" si="52"/>
        <v>38900</v>
      </c>
      <c r="Y90" s="997">
        <f t="shared" si="53"/>
        <v>6200</v>
      </c>
      <c r="Z90" s="677">
        <f t="shared" si="58"/>
        <v>45100</v>
      </c>
      <c r="AA90" s="677">
        <f t="shared" si="54"/>
        <v>-3433.3333333333358</v>
      </c>
      <c r="AB90" s="1230">
        <f>H90-Z90</f>
        <v>4900</v>
      </c>
    </row>
    <row r="91" spans="1:28" s="1090" customFormat="1" x14ac:dyDescent="0.25">
      <c r="A91" s="1231" t="s">
        <v>1048</v>
      </c>
      <c r="B91" s="683"/>
      <c r="C91" s="113">
        <f>100000-10800</f>
        <v>89200</v>
      </c>
      <c r="D91" s="113"/>
      <c r="E91" s="113"/>
      <c r="F91" s="113"/>
      <c r="G91" s="113"/>
      <c r="H91" s="677">
        <f t="shared" si="59"/>
        <v>89200</v>
      </c>
      <c r="I91" s="720">
        <f t="shared" si="60"/>
        <v>66900</v>
      </c>
      <c r="J91" s="677">
        <f t="shared" si="56"/>
        <v>7433.333333333333</v>
      </c>
      <c r="K91" s="677">
        <f t="shared" si="57"/>
        <v>74333.333333333328</v>
      </c>
      <c r="L91" s="1228"/>
      <c r="M91" s="1228">
        <v>19200</v>
      </c>
      <c r="N91" s="1228"/>
      <c r="O91" s="1228">
        <v>2420</v>
      </c>
      <c r="P91" s="1228"/>
      <c r="Q91" s="1228"/>
      <c r="R91" s="1228"/>
      <c r="S91" s="1228">
        <v>12800</v>
      </c>
      <c r="T91" s="1228">
        <v>23580</v>
      </c>
      <c r="U91" s="1229"/>
      <c r="V91" s="1229"/>
      <c r="W91" s="1229"/>
      <c r="X91" s="996">
        <f t="shared" si="52"/>
        <v>58000</v>
      </c>
      <c r="Y91" s="997">
        <f t="shared" si="53"/>
        <v>0</v>
      </c>
      <c r="Z91" s="677">
        <f t="shared" si="58"/>
        <v>58000</v>
      </c>
      <c r="AA91" s="677">
        <f t="shared" si="54"/>
        <v>16333.333333333328</v>
      </c>
      <c r="AB91" s="1230">
        <f t="shared" si="55"/>
        <v>31200</v>
      </c>
    </row>
    <row r="92" spans="1:28" s="1090" customFormat="1" x14ac:dyDescent="0.25">
      <c r="A92" s="1233" t="s">
        <v>1049</v>
      </c>
      <c r="B92" s="683"/>
      <c r="C92" s="113">
        <v>350000</v>
      </c>
      <c r="D92" s="113"/>
      <c r="E92" s="113"/>
      <c r="F92" s="113"/>
      <c r="G92" s="113"/>
      <c r="H92" s="677">
        <f t="shared" si="59"/>
        <v>350000</v>
      </c>
      <c r="I92" s="720">
        <f t="shared" si="60"/>
        <v>262500</v>
      </c>
      <c r="J92" s="677">
        <f t="shared" si="56"/>
        <v>29166.666666666668</v>
      </c>
      <c r="K92" s="677">
        <f t="shared" si="57"/>
        <v>291666.66666666669</v>
      </c>
      <c r="L92" s="1234"/>
      <c r="M92" s="1228"/>
      <c r="N92" s="1228"/>
      <c r="O92" s="1228"/>
      <c r="P92" s="1228"/>
      <c r="Q92" s="1228"/>
      <c r="R92" s="1228">
        <v>1200</v>
      </c>
      <c r="S92" s="1228"/>
      <c r="T92" s="1228"/>
      <c r="U92" s="1229"/>
      <c r="V92" s="1229"/>
      <c r="W92" s="1229"/>
      <c r="X92" s="996">
        <f t="shared" si="52"/>
        <v>1200</v>
      </c>
      <c r="Y92" s="997">
        <f t="shared" si="53"/>
        <v>0</v>
      </c>
      <c r="Z92" s="677">
        <f t="shared" si="58"/>
        <v>1200</v>
      </c>
      <c r="AA92" s="677">
        <f t="shared" si="54"/>
        <v>290466.66666666669</v>
      </c>
      <c r="AB92" s="1230">
        <f t="shared" si="55"/>
        <v>348800</v>
      </c>
    </row>
    <row r="93" spans="1:28" s="1090" customFormat="1" x14ac:dyDescent="0.25">
      <c r="A93" s="1235" t="s">
        <v>1050</v>
      </c>
      <c r="B93" s="683"/>
      <c r="C93" s="113"/>
      <c r="D93" s="113"/>
      <c r="E93" s="113"/>
      <c r="F93" s="113"/>
      <c r="G93" s="113"/>
      <c r="H93" s="677">
        <f t="shared" si="59"/>
        <v>0</v>
      </c>
      <c r="I93" s="720">
        <f t="shared" si="60"/>
        <v>0</v>
      </c>
      <c r="J93" s="677">
        <f t="shared" si="56"/>
        <v>0</v>
      </c>
      <c r="K93" s="677">
        <f t="shared" si="57"/>
        <v>0</v>
      </c>
      <c r="L93" s="1228"/>
      <c r="M93" s="1228"/>
      <c r="N93" s="1228"/>
      <c r="O93" s="1228"/>
      <c r="P93" s="1228"/>
      <c r="Q93" s="1228"/>
      <c r="R93" s="1228"/>
      <c r="S93" s="1228"/>
      <c r="T93" s="1228"/>
      <c r="U93" s="1229"/>
      <c r="V93" s="1229"/>
      <c r="W93" s="1229"/>
      <c r="X93" s="996">
        <f t="shared" si="52"/>
        <v>0</v>
      </c>
      <c r="Y93" s="997">
        <f t="shared" si="53"/>
        <v>0</v>
      </c>
      <c r="Z93" s="677">
        <f t="shared" si="58"/>
        <v>0</v>
      </c>
      <c r="AA93" s="677">
        <f t="shared" si="54"/>
        <v>0</v>
      </c>
      <c r="AB93" s="1230">
        <f t="shared" si="55"/>
        <v>0</v>
      </c>
    </row>
    <row r="94" spans="1:28" x14ac:dyDescent="0.25">
      <c r="A94" s="281" t="s">
        <v>1051</v>
      </c>
      <c r="B94" s="116"/>
      <c r="C94" s="117">
        <f>900000-50000</f>
        <v>850000</v>
      </c>
      <c r="D94" s="117"/>
      <c r="E94" s="117"/>
      <c r="F94" s="117"/>
      <c r="G94" s="117"/>
      <c r="H94" s="720">
        <f t="shared" si="59"/>
        <v>850000</v>
      </c>
      <c r="I94" s="720">
        <f t="shared" si="60"/>
        <v>637500</v>
      </c>
      <c r="J94" s="720">
        <f t="shared" si="56"/>
        <v>70833.333333333328</v>
      </c>
      <c r="K94" s="989">
        <f t="shared" si="57"/>
        <v>708333.33333333337</v>
      </c>
      <c r="L94" s="265">
        <v>32700</v>
      </c>
      <c r="M94" s="997">
        <v>94571</v>
      </c>
      <c r="N94" s="997">
        <v>43273</v>
      </c>
      <c r="O94" s="997">
        <v>81600</v>
      </c>
      <c r="P94" s="997">
        <v>17500</v>
      </c>
      <c r="Q94" s="997">
        <v>40600</v>
      </c>
      <c r="R94" s="1202">
        <f>85500+20500</f>
        <v>106000</v>
      </c>
      <c r="S94" s="997">
        <v>118700</v>
      </c>
      <c r="T94" s="997">
        <f>40500+23000</f>
        <v>63500</v>
      </c>
      <c r="U94" s="188">
        <v>90700</v>
      </c>
      <c r="V94" s="188"/>
      <c r="W94" s="188"/>
      <c r="X94" s="996">
        <f t="shared" si="52"/>
        <v>598444</v>
      </c>
      <c r="Y94" s="997">
        <f t="shared" si="53"/>
        <v>90700</v>
      </c>
      <c r="Z94" s="989">
        <f t="shared" si="58"/>
        <v>689144</v>
      </c>
      <c r="AA94" s="989">
        <f t="shared" si="54"/>
        <v>19189.333333333372</v>
      </c>
      <c r="AB94" s="1230">
        <f t="shared" si="55"/>
        <v>160856</v>
      </c>
    </row>
    <row r="95" spans="1:28" x14ac:dyDescent="0.25">
      <c r="A95" s="281" t="s">
        <v>1052</v>
      </c>
      <c r="B95" s="116"/>
      <c r="C95" s="117">
        <f>250000+50000</f>
        <v>300000</v>
      </c>
      <c r="D95" s="117"/>
      <c r="E95" s="117"/>
      <c r="F95" s="117"/>
      <c r="G95" s="117"/>
      <c r="H95" s="720">
        <f t="shared" si="59"/>
        <v>300000</v>
      </c>
      <c r="I95" s="720">
        <f t="shared" si="60"/>
        <v>225000</v>
      </c>
      <c r="J95" s="720">
        <f t="shared" si="56"/>
        <v>25000</v>
      </c>
      <c r="K95" s="989">
        <f t="shared" si="57"/>
        <v>250000</v>
      </c>
      <c r="L95" s="147">
        <v>13500</v>
      </c>
      <c r="M95" s="997">
        <v>25000</v>
      </c>
      <c r="N95" s="997">
        <v>25000</v>
      </c>
      <c r="O95" s="997">
        <v>50500</v>
      </c>
      <c r="P95" s="997">
        <v>11000</v>
      </c>
      <c r="Q95" s="997">
        <v>23500</v>
      </c>
      <c r="R95" s="1202">
        <f>18500</f>
        <v>18500</v>
      </c>
      <c r="S95" s="997">
        <v>59500</v>
      </c>
      <c r="T95" s="997">
        <v>30000</v>
      </c>
      <c r="U95" s="188">
        <f>-4500+48000</f>
        <v>43500</v>
      </c>
      <c r="V95" s="188"/>
      <c r="W95" s="188"/>
      <c r="X95" s="996">
        <f t="shared" si="52"/>
        <v>256500</v>
      </c>
      <c r="Y95" s="997">
        <f t="shared" si="53"/>
        <v>43500</v>
      </c>
      <c r="Z95" s="989">
        <f t="shared" si="58"/>
        <v>300000</v>
      </c>
      <c r="AA95" s="989">
        <f t="shared" si="54"/>
        <v>-50000</v>
      </c>
      <c r="AB95" s="1230">
        <f t="shared" si="55"/>
        <v>0</v>
      </c>
    </row>
    <row r="96" spans="1:28" x14ac:dyDescent="0.25">
      <c r="A96" s="281" t="s">
        <v>1053</v>
      </c>
      <c r="B96" s="116"/>
      <c r="C96" s="117">
        <f>20000+15000</f>
        <v>35000</v>
      </c>
      <c r="D96" s="117"/>
      <c r="E96" s="117"/>
      <c r="F96" s="117"/>
      <c r="G96" s="117"/>
      <c r="H96" s="720">
        <f t="shared" si="59"/>
        <v>35000</v>
      </c>
      <c r="I96" s="720">
        <f t="shared" si="60"/>
        <v>26250</v>
      </c>
      <c r="J96" s="720">
        <f t="shared" si="56"/>
        <v>2916.6666666666665</v>
      </c>
      <c r="K96" s="989">
        <f t="shared" si="57"/>
        <v>29166.666666666668</v>
      </c>
      <c r="L96" s="147"/>
      <c r="M96" s="997"/>
      <c r="N96" s="997">
        <v>5500</v>
      </c>
      <c r="O96" s="997"/>
      <c r="P96" s="997"/>
      <c r="Q96" s="997"/>
      <c r="R96" s="1202">
        <v>6000</v>
      </c>
      <c r="S96" s="997">
        <v>5500</v>
      </c>
      <c r="T96" s="997"/>
      <c r="U96" s="188"/>
      <c r="V96" s="188"/>
      <c r="W96" s="188"/>
      <c r="X96" s="996">
        <f t="shared" si="52"/>
        <v>17000</v>
      </c>
      <c r="Y96" s="997">
        <f t="shared" si="53"/>
        <v>0</v>
      </c>
      <c r="Z96" s="989">
        <f t="shared" si="58"/>
        <v>17000</v>
      </c>
      <c r="AA96" s="989">
        <f t="shared" si="54"/>
        <v>12166.666666666668</v>
      </c>
      <c r="AB96" s="1230">
        <f t="shared" si="55"/>
        <v>18000</v>
      </c>
    </row>
    <row r="97" spans="1:28" x14ac:dyDescent="0.25">
      <c r="A97" s="281" t="s">
        <v>1054</v>
      </c>
      <c r="B97" s="116"/>
      <c r="C97" s="117">
        <v>20000</v>
      </c>
      <c r="D97" s="117"/>
      <c r="E97" s="117"/>
      <c r="F97" s="117"/>
      <c r="G97" s="117"/>
      <c r="H97" s="720">
        <f t="shared" si="59"/>
        <v>20000</v>
      </c>
      <c r="I97" s="720">
        <f t="shared" si="60"/>
        <v>15000</v>
      </c>
      <c r="J97" s="720">
        <f t="shared" si="56"/>
        <v>1666.6666666666667</v>
      </c>
      <c r="K97" s="989">
        <f t="shared" si="57"/>
        <v>16666.666666666668</v>
      </c>
      <c r="L97" s="147">
        <v>3000</v>
      </c>
      <c r="M97" s="997"/>
      <c r="N97" s="997"/>
      <c r="O97" s="997"/>
      <c r="P97" s="997"/>
      <c r="Q97" s="997">
        <v>6000</v>
      </c>
      <c r="R97" s="1202">
        <v>3000</v>
      </c>
      <c r="S97" s="997">
        <v>7000</v>
      </c>
      <c r="T97" s="997"/>
      <c r="U97" s="188"/>
      <c r="V97" s="188"/>
      <c r="W97" s="188"/>
      <c r="X97" s="996">
        <f t="shared" si="52"/>
        <v>19000</v>
      </c>
      <c r="Y97" s="997">
        <f t="shared" si="53"/>
        <v>0</v>
      </c>
      <c r="Z97" s="989">
        <f t="shared" si="58"/>
        <v>19000</v>
      </c>
      <c r="AA97" s="989">
        <f t="shared" si="54"/>
        <v>-2333.3333333333321</v>
      </c>
      <c r="AB97" s="1230">
        <f t="shared" si="55"/>
        <v>1000</v>
      </c>
    </row>
    <row r="98" spans="1:28" x14ac:dyDescent="0.25">
      <c r="A98" s="281" t="s">
        <v>1055</v>
      </c>
      <c r="B98" s="116"/>
      <c r="C98" s="117">
        <v>20000</v>
      </c>
      <c r="D98" s="117"/>
      <c r="E98" s="117"/>
      <c r="F98" s="117"/>
      <c r="G98" s="117"/>
      <c r="H98" s="720">
        <f t="shared" si="59"/>
        <v>20000</v>
      </c>
      <c r="I98" s="720">
        <f t="shared" si="60"/>
        <v>15000</v>
      </c>
      <c r="J98" s="720">
        <f t="shared" si="56"/>
        <v>1666.6666666666667</v>
      </c>
      <c r="K98" s="989">
        <f t="shared" si="57"/>
        <v>16666.666666666668</v>
      </c>
      <c r="L98" s="147"/>
      <c r="M98" s="997"/>
      <c r="N98" s="997"/>
      <c r="O98" s="997"/>
      <c r="P98" s="997"/>
      <c r="Q98" s="997"/>
      <c r="R98" s="1202">
        <f>3000+6000</f>
        <v>9000</v>
      </c>
      <c r="S98" s="997">
        <v>3000</v>
      </c>
      <c r="T98" s="997">
        <v>3000</v>
      </c>
      <c r="U98" s="188"/>
      <c r="V98" s="188"/>
      <c r="W98" s="188"/>
      <c r="X98" s="996">
        <f t="shared" si="52"/>
        <v>15000</v>
      </c>
      <c r="Y98" s="997">
        <f t="shared" si="53"/>
        <v>0</v>
      </c>
      <c r="Z98" s="989">
        <f t="shared" si="58"/>
        <v>15000</v>
      </c>
      <c r="AA98" s="989">
        <f t="shared" si="54"/>
        <v>1666.6666666666679</v>
      </c>
      <c r="AB98" s="1230">
        <f t="shared" si="55"/>
        <v>5000</v>
      </c>
    </row>
    <row r="99" spans="1:28" x14ac:dyDescent="0.25">
      <c r="A99" s="281" t="s">
        <v>1056</v>
      </c>
      <c r="B99" s="116"/>
      <c r="C99" s="117">
        <v>100000</v>
      </c>
      <c r="D99" s="117">
        <v>50000</v>
      </c>
      <c r="E99" s="117"/>
      <c r="F99" s="117">
        <v>50000</v>
      </c>
      <c r="G99" s="117"/>
      <c r="H99" s="720">
        <f t="shared" si="59"/>
        <v>200000</v>
      </c>
      <c r="I99" s="720">
        <f t="shared" si="60"/>
        <v>150000</v>
      </c>
      <c r="J99" s="720">
        <f t="shared" si="56"/>
        <v>16666.666666666668</v>
      </c>
      <c r="K99" s="989">
        <f t="shared" si="57"/>
        <v>166666.66666666666</v>
      </c>
      <c r="L99" s="147"/>
      <c r="M99" s="997"/>
      <c r="N99" s="997"/>
      <c r="O99" s="997"/>
      <c r="P99" s="997"/>
      <c r="Q99" s="997">
        <v>47000</v>
      </c>
      <c r="R99" s="1202">
        <v>31200</v>
      </c>
      <c r="S99" s="997"/>
      <c r="T99" s="997"/>
      <c r="U99" s="188">
        <f>48000</f>
        <v>48000</v>
      </c>
      <c r="V99" s="188"/>
      <c r="W99" s="188"/>
      <c r="X99" s="996">
        <f t="shared" si="52"/>
        <v>78200</v>
      </c>
      <c r="Y99" s="997">
        <f t="shared" si="53"/>
        <v>48000</v>
      </c>
      <c r="Z99" s="989">
        <f t="shared" si="58"/>
        <v>126200</v>
      </c>
      <c r="AA99" s="989">
        <f t="shared" si="54"/>
        <v>40466.666666666657</v>
      </c>
      <c r="AB99" s="1230">
        <f t="shared" si="55"/>
        <v>73800</v>
      </c>
    </row>
    <row r="100" spans="1:28" ht="28.5" customHeight="1" x14ac:dyDescent="0.25">
      <c r="A100" s="798" t="s">
        <v>1057</v>
      </c>
      <c r="B100" s="116"/>
      <c r="C100" s="165">
        <v>200000</v>
      </c>
      <c r="D100" s="165"/>
      <c r="E100" s="165"/>
      <c r="F100" s="165"/>
      <c r="G100" s="165"/>
      <c r="H100" s="720">
        <f t="shared" si="59"/>
        <v>200000</v>
      </c>
      <c r="I100" s="720">
        <f t="shared" si="60"/>
        <v>150000</v>
      </c>
      <c r="J100" s="720">
        <f t="shared" si="56"/>
        <v>16666.666666666668</v>
      </c>
      <c r="K100" s="989">
        <f t="shared" si="57"/>
        <v>166666.66666666666</v>
      </c>
      <c r="L100" s="147">
        <v>5000</v>
      </c>
      <c r="M100" s="997">
        <v>5000</v>
      </c>
      <c r="N100" s="997"/>
      <c r="O100" s="997">
        <v>30000</v>
      </c>
      <c r="P100" s="997">
        <v>10000</v>
      </c>
      <c r="Q100" s="997">
        <v>57000</v>
      </c>
      <c r="R100" s="1202">
        <f>23000+10000</f>
        <v>33000</v>
      </c>
      <c r="S100" s="997">
        <v>3000</v>
      </c>
      <c r="T100" s="997">
        <v>5000</v>
      </c>
      <c r="U100" s="188">
        <v>24000</v>
      </c>
      <c r="V100" s="188"/>
      <c r="W100" s="188"/>
      <c r="X100" s="996">
        <f t="shared" si="52"/>
        <v>148000</v>
      </c>
      <c r="Y100" s="997">
        <f t="shared" si="53"/>
        <v>24000</v>
      </c>
      <c r="Z100" s="989">
        <f t="shared" si="58"/>
        <v>172000</v>
      </c>
      <c r="AA100" s="989">
        <f t="shared" si="54"/>
        <v>-5333.333333333343</v>
      </c>
      <c r="AB100" s="1230">
        <f t="shared" si="55"/>
        <v>28000</v>
      </c>
    </row>
    <row r="101" spans="1:28" x14ac:dyDescent="0.25">
      <c r="A101" s="281" t="s">
        <v>1058</v>
      </c>
      <c r="B101" s="116"/>
      <c r="C101" s="117">
        <v>20000</v>
      </c>
      <c r="D101" s="117"/>
      <c r="E101" s="117"/>
      <c r="F101" s="117"/>
      <c r="G101" s="117"/>
      <c r="H101" s="720">
        <f t="shared" si="59"/>
        <v>20000</v>
      </c>
      <c r="I101" s="720">
        <f t="shared" si="60"/>
        <v>15000</v>
      </c>
      <c r="J101" s="720">
        <f t="shared" si="56"/>
        <v>1666.6666666666667</v>
      </c>
      <c r="K101" s="989">
        <f t="shared" si="57"/>
        <v>16666.666666666668</v>
      </c>
      <c r="L101" s="147">
        <v>3500</v>
      </c>
      <c r="M101" s="997"/>
      <c r="N101" s="997"/>
      <c r="O101" s="997"/>
      <c r="P101" s="997"/>
      <c r="Q101" s="997">
        <v>2000</v>
      </c>
      <c r="R101" s="997"/>
      <c r="S101" s="997"/>
      <c r="T101" s="997"/>
      <c r="U101" s="188"/>
      <c r="V101" s="188"/>
      <c r="W101" s="188"/>
      <c r="X101" s="996">
        <f t="shared" si="52"/>
        <v>5500</v>
      </c>
      <c r="Y101" s="997">
        <f t="shared" si="53"/>
        <v>0</v>
      </c>
      <c r="Z101" s="989">
        <f t="shared" si="58"/>
        <v>5500</v>
      </c>
      <c r="AA101" s="989">
        <f t="shared" si="54"/>
        <v>11166.666666666668</v>
      </c>
      <c r="AB101" s="1230">
        <f t="shared" si="55"/>
        <v>14500</v>
      </c>
    </row>
    <row r="102" spans="1:28" x14ac:dyDescent="0.25">
      <c r="A102" s="281" t="s">
        <v>1059</v>
      </c>
      <c r="B102" s="116"/>
      <c r="C102" s="117">
        <f>100000-20000</f>
        <v>80000</v>
      </c>
      <c r="D102" s="117"/>
      <c r="E102" s="117"/>
      <c r="F102" s="117"/>
      <c r="G102" s="117"/>
      <c r="H102" s="720">
        <f t="shared" si="59"/>
        <v>80000</v>
      </c>
      <c r="I102" s="720">
        <f t="shared" si="60"/>
        <v>60000</v>
      </c>
      <c r="J102" s="720">
        <f t="shared" si="56"/>
        <v>6666.666666666667</v>
      </c>
      <c r="K102" s="989">
        <f t="shared" si="57"/>
        <v>66666.666666666672</v>
      </c>
      <c r="L102" s="147"/>
      <c r="M102" s="997"/>
      <c r="N102" s="997"/>
      <c r="O102" s="997"/>
      <c r="P102" s="997"/>
      <c r="Q102" s="997"/>
      <c r="R102" s="1202">
        <v>2500</v>
      </c>
      <c r="S102" s="997"/>
      <c r="T102" s="997"/>
      <c r="U102" s="188"/>
      <c r="V102" s="188"/>
      <c r="W102" s="188"/>
      <c r="X102" s="996">
        <f t="shared" si="52"/>
        <v>2500</v>
      </c>
      <c r="Y102" s="997">
        <f t="shared" si="53"/>
        <v>0</v>
      </c>
      <c r="Z102" s="989">
        <f t="shared" si="58"/>
        <v>2500</v>
      </c>
      <c r="AA102" s="989">
        <f t="shared" si="54"/>
        <v>64166.666666666672</v>
      </c>
      <c r="AB102" s="1230">
        <f t="shared" si="55"/>
        <v>77500</v>
      </c>
    </row>
    <row r="103" spans="1:28" x14ac:dyDescent="0.25">
      <c r="A103" s="799" t="s">
        <v>1060</v>
      </c>
      <c r="B103" s="116"/>
      <c r="C103" s="117"/>
      <c r="D103" s="117"/>
      <c r="E103" s="117"/>
      <c r="F103" s="117"/>
      <c r="G103" s="117"/>
      <c r="H103" s="720">
        <f t="shared" si="59"/>
        <v>0</v>
      </c>
      <c r="I103" s="720">
        <f t="shared" si="60"/>
        <v>0</v>
      </c>
      <c r="J103" s="720">
        <f t="shared" si="56"/>
        <v>0</v>
      </c>
      <c r="K103" s="989">
        <f t="shared" si="57"/>
        <v>0</v>
      </c>
      <c r="L103" s="52"/>
      <c r="M103" s="726"/>
      <c r="N103" s="726"/>
      <c r="O103" s="726"/>
      <c r="P103" s="726"/>
      <c r="Q103" s="726"/>
      <c r="R103" s="726"/>
      <c r="S103" s="726"/>
      <c r="T103" s="726"/>
      <c r="U103" s="123"/>
      <c r="V103" s="123"/>
      <c r="W103" s="123"/>
      <c r="X103" s="996">
        <f t="shared" si="52"/>
        <v>0</v>
      </c>
      <c r="Y103" s="997">
        <f t="shared" si="53"/>
        <v>0</v>
      </c>
      <c r="Z103" s="989">
        <f t="shared" si="58"/>
        <v>0</v>
      </c>
      <c r="AA103" s="989">
        <f t="shared" si="54"/>
        <v>0</v>
      </c>
      <c r="AB103" s="1230">
        <f t="shared" si="55"/>
        <v>0</v>
      </c>
    </row>
    <row r="104" spans="1:28" s="712" customFormat="1" ht="26.25" x14ac:dyDescent="0.25">
      <c r="A104" s="800" t="s">
        <v>1061</v>
      </c>
      <c r="B104" s="227"/>
      <c r="C104" s="117">
        <v>200000</v>
      </c>
      <c r="D104" s="117"/>
      <c r="E104" s="117"/>
      <c r="F104" s="117"/>
      <c r="G104" s="117"/>
      <c r="H104" s="720">
        <f t="shared" si="59"/>
        <v>200000</v>
      </c>
      <c r="I104" s="720">
        <f t="shared" si="60"/>
        <v>150000</v>
      </c>
      <c r="J104" s="720">
        <f t="shared" si="56"/>
        <v>16666.666666666668</v>
      </c>
      <c r="K104" s="989">
        <f t="shared" si="57"/>
        <v>166666.66666666666</v>
      </c>
      <c r="L104" s="693"/>
      <c r="M104" s="393"/>
      <c r="N104" s="393"/>
      <c r="O104" s="393"/>
      <c r="P104" s="393"/>
      <c r="Q104" s="393"/>
      <c r="R104" s="393"/>
      <c r="S104" s="393"/>
      <c r="T104" s="393"/>
      <c r="U104" s="514"/>
      <c r="V104" s="514"/>
      <c r="W104" s="514"/>
      <c r="X104" s="996">
        <f t="shared" si="52"/>
        <v>0</v>
      </c>
      <c r="Y104" s="997">
        <f t="shared" si="53"/>
        <v>0</v>
      </c>
      <c r="Z104" s="989">
        <f t="shared" si="58"/>
        <v>0</v>
      </c>
      <c r="AA104" s="989">
        <f t="shared" si="54"/>
        <v>166666.66666666666</v>
      </c>
      <c r="AB104" s="1230">
        <f t="shared" si="55"/>
        <v>200000</v>
      </c>
    </row>
    <row r="105" spans="1:28" s="712" customFormat="1" ht="26.25" x14ac:dyDescent="0.25">
      <c r="A105" s="800" t="s">
        <v>1062</v>
      </c>
      <c r="B105" s="227"/>
      <c r="C105" s="117">
        <v>200000</v>
      </c>
      <c r="D105" s="117"/>
      <c r="E105" s="117"/>
      <c r="F105" s="117"/>
      <c r="G105" s="117"/>
      <c r="H105" s="720">
        <f t="shared" si="59"/>
        <v>200000</v>
      </c>
      <c r="I105" s="720">
        <f t="shared" si="60"/>
        <v>150000</v>
      </c>
      <c r="J105" s="720">
        <f t="shared" si="56"/>
        <v>16666.666666666668</v>
      </c>
      <c r="K105" s="989">
        <f t="shared" si="57"/>
        <v>166666.66666666666</v>
      </c>
      <c r="L105" s="693"/>
      <c r="M105" s="693"/>
      <c r="N105" s="693"/>
      <c r="O105" s="393"/>
      <c r="P105" s="393"/>
      <c r="Q105" s="393"/>
      <c r="R105" s="393"/>
      <c r="S105" s="393"/>
      <c r="T105" s="393"/>
      <c r="U105" s="514"/>
      <c r="V105" s="514"/>
      <c r="W105" s="514"/>
      <c r="X105" s="996">
        <f t="shared" si="52"/>
        <v>0</v>
      </c>
      <c r="Y105" s="997">
        <f t="shared" si="53"/>
        <v>0</v>
      </c>
      <c r="Z105" s="989">
        <f t="shared" si="58"/>
        <v>0</v>
      </c>
      <c r="AA105" s="989">
        <f t="shared" si="54"/>
        <v>166666.66666666666</v>
      </c>
      <c r="AB105" s="1230">
        <f t="shared" si="55"/>
        <v>200000</v>
      </c>
    </row>
    <row r="106" spans="1:28" s="712" customFormat="1" x14ac:dyDescent="0.25">
      <c r="A106" s="801" t="s">
        <v>1063</v>
      </c>
      <c r="B106" s="227"/>
      <c r="C106" s="117"/>
      <c r="D106" s="117"/>
      <c r="E106" s="117"/>
      <c r="F106" s="117"/>
      <c r="G106" s="117"/>
      <c r="H106" s="720">
        <f t="shared" si="59"/>
        <v>0</v>
      </c>
      <c r="I106" s="720">
        <f t="shared" si="60"/>
        <v>0</v>
      </c>
      <c r="J106" s="720">
        <f t="shared" si="56"/>
        <v>0</v>
      </c>
      <c r="K106" s="989">
        <f t="shared" si="57"/>
        <v>0</v>
      </c>
      <c r="L106" s="693"/>
      <c r="M106" s="693"/>
      <c r="N106" s="693"/>
      <c r="O106" s="393"/>
      <c r="P106" s="393"/>
      <c r="Q106" s="393"/>
      <c r="R106" s="393"/>
      <c r="S106" s="693"/>
      <c r="T106" s="693"/>
      <c r="U106" s="514"/>
      <c r="V106" s="514"/>
      <c r="W106" s="514"/>
      <c r="X106" s="996">
        <f t="shared" si="52"/>
        <v>0</v>
      </c>
      <c r="Y106" s="997">
        <f t="shared" si="53"/>
        <v>0</v>
      </c>
      <c r="Z106" s="989">
        <f t="shared" si="58"/>
        <v>0</v>
      </c>
      <c r="AA106" s="989">
        <f t="shared" si="54"/>
        <v>0</v>
      </c>
      <c r="AB106" s="1230">
        <f t="shared" si="55"/>
        <v>0</v>
      </c>
    </row>
    <row r="107" spans="1:28" s="712" customFormat="1" x14ac:dyDescent="0.25">
      <c r="A107" s="281" t="s">
        <v>1064</v>
      </c>
      <c r="B107" s="227"/>
      <c r="C107" s="117">
        <v>40000</v>
      </c>
      <c r="D107" s="117"/>
      <c r="E107" s="117"/>
      <c r="F107" s="117"/>
      <c r="G107" s="117"/>
      <c r="H107" s="720">
        <f t="shared" si="59"/>
        <v>40000</v>
      </c>
      <c r="I107" s="720">
        <f t="shared" si="60"/>
        <v>30000</v>
      </c>
      <c r="J107" s="720">
        <f t="shared" si="56"/>
        <v>3333.3333333333335</v>
      </c>
      <c r="K107" s="989">
        <f t="shared" si="57"/>
        <v>33333.333333333336</v>
      </c>
      <c r="L107" s="693"/>
      <c r="M107" s="693">
        <f>10600</f>
        <v>10600</v>
      </c>
      <c r="N107" s="693"/>
      <c r="O107" s="393"/>
      <c r="P107" s="393">
        <v>17900</v>
      </c>
      <c r="Q107" s="393"/>
      <c r="R107" s="393"/>
      <c r="S107" s="693"/>
      <c r="T107" s="693"/>
      <c r="U107" s="514"/>
      <c r="V107" s="514"/>
      <c r="W107" s="514"/>
      <c r="X107" s="996">
        <f t="shared" si="52"/>
        <v>28500</v>
      </c>
      <c r="Y107" s="997">
        <f t="shared" si="53"/>
        <v>0</v>
      </c>
      <c r="Z107" s="989">
        <f t="shared" si="58"/>
        <v>28500</v>
      </c>
      <c r="AA107" s="989">
        <f t="shared" si="54"/>
        <v>4833.3333333333358</v>
      </c>
      <c r="AB107" s="1230">
        <f t="shared" si="55"/>
        <v>11500</v>
      </c>
    </row>
    <row r="108" spans="1:28" s="712" customFormat="1" x14ac:dyDescent="0.25">
      <c r="A108" s="332" t="s">
        <v>1065</v>
      </c>
      <c r="B108" s="227"/>
      <c r="C108" s="117">
        <v>762000</v>
      </c>
      <c r="D108" s="117"/>
      <c r="E108" s="117"/>
      <c r="F108" s="117"/>
      <c r="G108" s="117"/>
      <c r="H108" s="720">
        <f t="shared" si="59"/>
        <v>762000</v>
      </c>
      <c r="I108" s="720">
        <f t="shared" si="60"/>
        <v>571500</v>
      </c>
      <c r="J108" s="720">
        <f t="shared" si="56"/>
        <v>63500</v>
      </c>
      <c r="K108" s="989">
        <f t="shared" si="57"/>
        <v>635000</v>
      </c>
      <c r="L108" s="693"/>
      <c r="M108" s="693"/>
      <c r="N108" s="693">
        <v>190500</v>
      </c>
      <c r="O108" s="393"/>
      <c r="P108" s="393"/>
      <c r="Q108" s="393"/>
      <c r="R108" s="1203">
        <v>190500</v>
      </c>
      <c r="S108" s="693"/>
      <c r="T108" s="693">
        <v>190500</v>
      </c>
      <c r="U108" s="514"/>
      <c r="V108" s="514"/>
      <c r="W108" s="514"/>
      <c r="X108" s="996">
        <f t="shared" si="52"/>
        <v>571500</v>
      </c>
      <c r="Y108" s="997">
        <f t="shared" si="53"/>
        <v>0</v>
      </c>
      <c r="Z108" s="989">
        <f t="shared" si="58"/>
        <v>571500</v>
      </c>
      <c r="AA108" s="989">
        <f t="shared" si="54"/>
        <v>63500</v>
      </c>
      <c r="AB108" s="1230">
        <f t="shared" si="55"/>
        <v>190500</v>
      </c>
    </row>
    <row r="109" spans="1:28" s="712" customFormat="1" x14ac:dyDescent="0.25">
      <c r="A109" s="802" t="s">
        <v>1066</v>
      </c>
      <c r="B109" s="227"/>
      <c r="C109" s="720"/>
      <c r="D109" s="720"/>
      <c r="E109" s="720"/>
      <c r="F109" s="720"/>
      <c r="G109" s="720"/>
      <c r="H109" s="720">
        <f t="shared" si="59"/>
        <v>0</v>
      </c>
      <c r="I109" s="720">
        <f t="shared" si="60"/>
        <v>0</v>
      </c>
      <c r="J109" s="720">
        <f t="shared" si="56"/>
        <v>0</v>
      </c>
      <c r="K109" s="989">
        <f t="shared" si="57"/>
        <v>0</v>
      </c>
      <c r="L109" s="693"/>
      <c r="M109" s="693"/>
      <c r="N109" s="693"/>
      <c r="O109" s="393"/>
      <c r="P109" s="393"/>
      <c r="Q109" s="393"/>
      <c r="R109" s="693"/>
      <c r="S109" s="693"/>
      <c r="T109" s="693"/>
      <c r="U109" s="228"/>
      <c r="V109" s="514"/>
      <c r="W109" s="514"/>
      <c r="X109" s="996">
        <f t="shared" si="52"/>
        <v>0</v>
      </c>
      <c r="Y109" s="997">
        <f t="shared" si="53"/>
        <v>0</v>
      </c>
      <c r="Z109" s="989">
        <f t="shared" si="58"/>
        <v>0</v>
      </c>
      <c r="AA109" s="989">
        <f t="shared" si="54"/>
        <v>0</v>
      </c>
      <c r="AB109" s="1230">
        <f t="shared" si="55"/>
        <v>0</v>
      </c>
    </row>
    <row r="110" spans="1:28" s="712" customFormat="1" x14ac:dyDescent="0.25">
      <c r="A110" s="623" t="s">
        <v>1067</v>
      </c>
      <c r="B110" s="227"/>
      <c r="C110" s="117">
        <v>220000</v>
      </c>
      <c r="D110" s="117"/>
      <c r="E110" s="117"/>
      <c r="F110" s="117"/>
      <c r="G110" s="117"/>
      <c r="H110" s="720">
        <f t="shared" si="59"/>
        <v>220000</v>
      </c>
      <c r="I110" s="720">
        <f t="shared" si="60"/>
        <v>165000</v>
      </c>
      <c r="J110" s="720">
        <f t="shared" si="56"/>
        <v>18333.333333333332</v>
      </c>
      <c r="K110" s="989">
        <f t="shared" si="57"/>
        <v>183333.33333333334</v>
      </c>
      <c r="L110" s="693"/>
      <c r="M110" s="693">
        <v>2500</v>
      </c>
      <c r="N110" s="693">
        <v>17500</v>
      </c>
      <c r="O110" s="393">
        <v>6500</v>
      </c>
      <c r="P110" s="393"/>
      <c r="Q110" s="393">
        <v>7500</v>
      </c>
      <c r="R110" s="1204">
        <v>8500</v>
      </c>
      <c r="S110" s="693">
        <v>16500</v>
      </c>
      <c r="T110" s="693">
        <v>55000</v>
      </c>
      <c r="U110" s="228">
        <f>2500</f>
        <v>2500</v>
      </c>
      <c r="V110" s="514"/>
      <c r="W110" s="514"/>
      <c r="X110" s="996">
        <f t="shared" si="52"/>
        <v>114000</v>
      </c>
      <c r="Y110" s="997">
        <f t="shared" si="53"/>
        <v>2500</v>
      </c>
      <c r="Z110" s="989">
        <f t="shared" si="58"/>
        <v>116500</v>
      </c>
      <c r="AA110" s="989">
        <f t="shared" si="54"/>
        <v>66833.333333333343</v>
      </c>
      <c r="AB110" s="1230">
        <f t="shared" si="55"/>
        <v>103500</v>
      </c>
    </row>
    <row r="111" spans="1:28" s="712" customFormat="1" x14ac:dyDescent="0.25">
      <c r="A111" s="623" t="s">
        <v>1068</v>
      </c>
      <c r="B111" s="227"/>
      <c r="C111" s="117">
        <v>110000</v>
      </c>
      <c r="D111" s="117"/>
      <c r="E111" s="117"/>
      <c r="F111" s="117"/>
      <c r="G111" s="117"/>
      <c r="H111" s="720">
        <f t="shared" si="59"/>
        <v>110000</v>
      </c>
      <c r="I111" s="720">
        <f t="shared" si="60"/>
        <v>82500</v>
      </c>
      <c r="J111" s="720">
        <f t="shared" si="56"/>
        <v>9166.6666666666661</v>
      </c>
      <c r="K111" s="989">
        <f t="shared" si="57"/>
        <v>91666.666666666672</v>
      </c>
      <c r="L111" s="693"/>
      <c r="M111" s="693"/>
      <c r="N111" s="693">
        <v>23500</v>
      </c>
      <c r="O111" s="393">
        <v>2500</v>
      </c>
      <c r="P111" s="393"/>
      <c r="Q111" s="393"/>
      <c r="R111" s="693"/>
      <c r="S111" s="693">
        <v>5000</v>
      </c>
      <c r="T111" s="693">
        <v>2500</v>
      </c>
      <c r="U111" s="228">
        <v>38000</v>
      </c>
      <c r="V111" s="514"/>
      <c r="W111" s="514"/>
      <c r="X111" s="996">
        <f t="shared" si="52"/>
        <v>33500</v>
      </c>
      <c r="Y111" s="997">
        <f t="shared" si="53"/>
        <v>38000</v>
      </c>
      <c r="Z111" s="989">
        <f t="shared" si="58"/>
        <v>71500</v>
      </c>
      <c r="AA111" s="989">
        <f t="shared" si="54"/>
        <v>20166.666666666672</v>
      </c>
      <c r="AB111" s="1230">
        <f t="shared" si="55"/>
        <v>38500</v>
      </c>
    </row>
    <row r="112" spans="1:28" s="712" customFormat="1" x14ac:dyDescent="0.25">
      <c r="A112" s="623" t="s">
        <v>1069</v>
      </c>
      <c r="B112" s="227"/>
      <c r="C112" s="117">
        <v>150000</v>
      </c>
      <c r="D112" s="117">
        <f>-50000</f>
        <v>-50000</v>
      </c>
      <c r="E112" s="117"/>
      <c r="F112" s="117"/>
      <c r="G112" s="117"/>
      <c r="H112" s="720">
        <f t="shared" si="59"/>
        <v>100000</v>
      </c>
      <c r="I112" s="720">
        <f t="shared" si="60"/>
        <v>75000</v>
      </c>
      <c r="J112" s="720">
        <f t="shared" si="56"/>
        <v>8333.3333333333339</v>
      </c>
      <c r="K112" s="989">
        <f t="shared" si="57"/>
        <v>83333.333333333328</v>
      </c>
      <c r="L112" s="693"/>
      <c r="M112" s="693"/>
      <c r="N112" s="693"/>
      <c r="O112" s="393">
        <v>35000</v>
      </c>
      <c r="P112" s="393"/>
      <c r="Q112" s="393"/>
      <c r="R112" s="1204">
        <v>13500</v>
      </c>
      <c r="S112" s="693"/>
      <c r="T112" s="693"/>
      <c r="U112" s="228">
        <v>24000</v>
      </c>
      <c r="V112" s="514"/>
      <c r="W112" s="514"/>
      <c r="X112" s="996">
        <f t="shared" si="52"/>
        <v>48500</v>
      </c>
      <c r="Y112" s="997">
        <f t="shared" si="53"/>
        <v>24000</v>
      </c>
      <c r="Z112" s="989">
        <f t="shared" si="58"/>
        <v>72500</v>
      </c>
      <c r="AA112" s="989">
        <f t="shared" si="54"/>
        <v>10833.333333333328</v>
      </c>
      <c r="AB112" s="1230">
        <f t="shared" si="55"/>
        <v>27500</v>
      </c>
    </row>
    <row r="113" spans="1:28" s="712" customFormat="1" x14ac:dyDescent="0.25">
      <c r="A113" s="802" t="s">
        <v>1070</v>
      </c>
      <c r="B113" s="227"/>
      <c r="C113" s="117"/>
      <c r="D113" s="117"/>
      <c r="E113" s="117"/>
      <c r="F113" s="117"/>
      <c r="G113" s="117"/>
      <c r="H113" s="720">
        <f t="shared" si="59"/>
        <v>0</v>
      </c>
      <c r="I113" s="720">
        <f t="shared" si="60"/>
        <v>0</v>
      </c>
      <c r="J113" s="720">
        <f t="shared" si="56"/>
        <v>0</v>
      </c>
      <c r="K113" s="989">
        <f t="shared" si="57"/>
        <v>0</v>
      </c>
      <c r="L113" s="693"/>
      <c r="M113" s="693"/>
      <c r="N113" s="693"/>
      <c r="O113" s="393"/>
      <c r="P113" s="393"/>
      <c r="Q113" s="393"/>
      <c r="R113" s="693"/>
      <c r="S113" s="693"/>
      <c r="T113" s="693"/>
      <c r="U113" s="514"/>
      <c r="V113" s="514"/>
      <c r="W113" s="514"/>
      <c r="X113" s="996">
        <f t="shared" si="52"/>
        <v>0</v>
      </c>
      <c r="Y113" s="997">
        <f t="shared" si="53"/>
        <v>0</v>
      </c>
      <c r="Z113" s="989">
        <f t="shared" si="58"/>
        <v>0</v>
      </c>
      <c r="AA113" s="989">
        <f t="shared" si="54"/>
        <v>0</v>
      </c>
      <c r="AB113" s="1230">
        <f t="shared" si="55"/>
        <v>0</v>
      </c>
    </row>
    <row r="114" spans="1:28" s="712" customFormat="1" x14ac:dyDescent="0.25">
      <c r="A114" s="797" t="s">
        <v>1071</v>
      </c>
      <c r="B114" s="227"/>
      <c r="C114" s="203">
        <v>355000</v>
      </c>
      <c r="D114" s="203"/>
      <c r="E114" s="203"/>
      <c r="F114" s="203"/>
      <c r="G114" s="203"/>
      <c r="H114" s="720">
        <f t="shared" si="59"/>
        <v>355000</v>
      </c>
      <c r="I114" s="720">
        <f t="shared" si="60"/>
        <v>266250</v>
      </c>
      <c r="J114" s="720">
        <f t="shared" si="56"/>
        <v>29583.333333333332</v>
      </c>
      <c r="K114" s="989">
        <f t="shared" si="57"/>
        <v>295833.33333333331</v>
      </c>
      <c r="L114" s="695">
        <v>39800</v>
      </c>
      <c r="M114" s="693">
        <f>4000+27200</f>
        <v>31200</v>
      </c>
      <c r="N114" s="693">
        <v>31000</v>
      </c>
      <c r="O114" s="393">
        <v>31700</v>
      </c>
      <c r="P114" s="393"/>
      <c r="Q114" s="393">
        <v>19400</v>
      </c>
      <c r="R114" s="1204">
        <v>10400</v>
      </c>
      <c r="S114" s="693">
        <v>28400</v>
      </c>
      <c r="T114" s="693"/>
      <c r="U114" s="228">
        <v>40100</v>
      </c>
      <c r="V114" s="514"/>
      <c r="W114" s="514"/>
      <c r="X114" s="996">
        <f t="shared" si="52"/>
        <v>191900</v>
      </c>
      <c r="Y114" s="997">
        <f t="shared" si="53"/>
        <v>40100</v>
      </c>
      <c r="Z114" s="989">
        <f t="shared" si="58"/>
        <v>232000</v>
      </c>
      <c r="AA114" s="989">
        <f t="shared" si="54"/>
        <v>63833.333333333314</v>
      </c>
      <c r="AB114" s="1230">
        <f t="shared" si="55"/>
        <v>123000</v>
      </c>
    </row>
    <row r="115" spans="1:28" s="712" customFormat="1" x14ac:dyDescent="0.25">
      <c r="A115" s="797" t="s">
        <v>1072</v>
      </c>
      <c r="B115" s="227"/>
      <c r="C115" s="117">
        <v>324000</v>
      </c>
      <c r="D115" s="117"/>
      <c r="E115" s="117"/>
      <c r="F115" s="117"/>
      <c r="G115" s="117"/>
      <c r="H115" s="720">
        <f t="shared" si="59"/>
        <v>324000</v>
      </c>
      <c r="I115" s="720">
        <f t="shared" si="60"/>
        <v>243000</v>
      </c>
      <c r="J115" s="720">
        <f t="shared" si="56"/>
        <v>27000</v>
      </c>
      <c r="K115" s="989">
        <f t="shared" si="57"/>
        <v>270000</v>
      </c>
      <c r="L115" s="693"/>
      <c r="M115" s="693"/>
      <c r="N115" s="693">
        <v>81000</v>
      </c>
      <c r="O115" s="393"/>
      <c r="P115" s="393"/>
      <c r="Q115" s="393">
        <v>81000</v>
      </c>
      <c r="R115" s="693"/>
      <c r="S115" s="693"/>
      <c r="T115" s="693"/>
      <c r="U115" s="228">
        <f>81000</f>
        <v>81000</v>
      </c>
      <c r="V115" s="514"/>
      <c r="W115" s="514"/>
      <c r="X115" s="996">
        <f t="shared" si="52"/>
        <v>162000</v>
      </c>
      <c r="Y115" s="997">
        <f t="shared" si="53"/>
        <v>81000</v>
      </c>
      <c r="Z115" s="989">
        <f t="shared" si="58"/>
        <v>243000</v>
      </c>
      <c r="AA115" s="989">
        <f t="shared" si="54"/>
        <v>27000</v>
      </c>
      <c r="AB115" s="1230">
        <f t="shared" si="55"/>
        <v>81000</v>
      </c>
    </row>
    <row r="116" spans="1:28" s="712" customFormat="1" x14ac:dyDescent="0.25">
      <c r="A116" s="803" t="s">
        <v>1073</v>
      </c>
      <c r="B116" s="227"/>
      <c r="C116" s="117"/>
      <c r="D116" s="117"/>
      <c r="E116" s="117"/>
      <c r="F116" s="117"/>
      <c r="G116" s="117"/>
      <c r="H116" s="720">
        <f t="shared" si="59"/>
        <v>0</v>
      </c>
      <c r="I116" s="720">
        <f t="shared" si="60"/>
        <v>0</v>
      </c>
      <c r="J116" s="720">
        <f t="shared" si="56"/>
        <v>0</v>
      </c>
      <c r="K116" s="989">
        <f t="shared" si="57"/>
        <v>0</v>
      </c>
      <c r="L116" s="693"/>
      <c r="M116" s="393"/>
      <c r="N116" s="693"/>
      <c r="O116" s="393"/>
      <c r="P116" s="393"/>
      <c r="Q116" s="393"/>
      <c r="R116" s="693"/>
      <c r="S116" s="693"/>
      <c r="T116" s="693"/>
      <c r="U116" s="228"/>
      <c r="V116" s="514"/>
      <c r="W116" s="514"/>
      <c r="X116" s="996">
        <f t="shared" si="52"/>
        <v>0</v>
      </c>
      <c r="Y116" s="997">
        <f t="shared" si="53"/>
        <v>0</v>
      </c>
      <c r="Z116" s="989">
        <f t="shared" si="58"/>
        <v>0</v>
      </c>
      <c r="AA116" s="989">
        <f t="shared" si="54"/>
        <v>0</v>
      </c>
      <c r="AB116" s="1230">
        <f t="shared" si="55"/>
        <v>0</v>
      </c>
    </row>
    <row r="117" spans="1:28" s="712" customFormat="1" x14ac:dyDescent="0.25">
      <c r="A117" s="804" t="s">
        <v>1074</v>
      </c>
      <c r="B117" s="227"/>
      <c r="C117" s="117"/>
      <c r="D117" s="117"/>
      <c r="E117" s="117"/>
      <c r="F117" s="117"/>
      <c r="G117" s="117"/>
      <c r="H117" s="720">
        <f t="shared" si="59"/>
        <v>0</v>
      </c>
      <c r="I117" s="720">
        <f t="shared" si="60"/>
        <v>0</v>
      </c>
      <c r="J117" s="720">
        <f t="shared" si="56"/>
        <v>0</v>
      </c>
      <c r="K117" s="989">
        <f t="shared" si="57"/>
        <v>0</v>
      </c>
      <c r="L117" s="693"/>
      <c r="M117" s="393"/>
      <c r="N117" s="693"/>
      <c r="O117" s="393"/>
      <c r="P117" s="393"/>
      <c r="Q117" s="393"/>
      <c r="R117" s="693"/>
      <c r="S117" s="693"/>
      <c r="T117" s="693"/>
      <c r="U117" s="228"/>
      <c r="V117" s="514"/>
      <c r="W117" s="514"/>
      <c r="X117" s="996">
        <f t="shared" si="52"/>
        <v>0</v>
      </c>
      <c r="Y117" s="997">
        <f t="shared" si="53"/>
        <v>0</v>
      </c>
      <c r="Z117" s="989">
        <f t="shared" si="58"/>
        <v>0</v>
      </c>
      <c r="AA117" s="989">
        <f t="shared" si="54"/>
        <v>0</v>
      </c>
      <c r="AB117" s="1230">
        <f t="shared" si="55"/>
        <v>0</v>
      </c>
    </row>
    <row r="118" spans="1:28" s="712" customFormat="1" x14ac:dyDescent="0.25">
      <c r="A118" s="797" t="s">
        <v>1075</v>
      </c>
      <c r="B118" s="227"/>
      <c r="C118" s="117">
        <f>300000-38000</f>
        <v>262000</v>
      </c>
      <c r="D118" s="117"/>
      <c r="E118" s="117"/>
      <c r="F118" s="117"/>
      <c r="G118" s="117"/>
      <c r="H118" s="720">
        <f t="shared" si="59"/>
        <v>262000</v>
      </c>
      <c r="I118" s="720">
        <f t="shared" si="60"/>
        <v>196500</v>
      </c>
      <c r="J118" s="720">
        <f t="shared" si="56"/>
        <v>21833.333333333332</v>
      </c>
      <c r="K118" s="989">
        <f t="shared" si="57"/>
        <v>218333.33333333334</v>
      </c>
      <c r="L118" s="693"/>
      <c r="M118" s="393"/>
      <c r="N118" s="693">
        <v>110500</v>
      </c>
      <c r="O118" s="393"/>
      <c r="P118" s="393"/>
      <c r="Q118" s="393"/>
      <c r="R118" s="393"/>
      <c r="S118" s="693"/>
      <c r="T118" s="693"/>
      <c r="U118" s="514"/>
      <c r="V118" s="514"/>
      <c r="W118" s="514"/>
      <c r="X118" s="996">
        <f t="shared" si="52"/>
        <v>110500</v>
      </c>
      <c r="Y118" s="997">
        <f t="shared" si="53"/>
        <v>0</v>
      </c>
      <c r="Z118" s="989">
        <f t="shared" si="58"/>
        <v>110500</v>
      </c>
      <c r="AA118" s="989">
        <f t="shared" si="54"/>
        <v>107833.33333333334</v>
      </c>
      <c r="AB118" s="1230">
        <f t="shared" si="55"/>
        <v>151500</v>
      </c>
    </row>
    <row r="119" spans="1:28" s="712" customFormat="1" x14ac:dyDescent="0.25">
      <c r="A119" s="805" t="s">
        <v>1076</v>
      </c>
      <c r="B119" s="227"/>
      <c r="C119" s="117">
        <v>162000</v>
      </c>
      <c r="D119" s="117"/>
      <c r="E119" s="117"/>
      <c r="F119" s="117"/>
      <c r="G119" s="117"/>
      <c r="H119" s="720">
        <f t="shared" si="59"/>
        <v>162000</v>
      </c>
      <c r="I119" s="720">
        <f t="shared" si="60"/>
        <v>121500</v>
      </c>
      <c r="J119" s="720">
        <f t="shared" si="56"/>
        <v>13500</v>
      </c>
      <c r="K119" s="989">
        <f t="shared" si="57"/>
        <v>135000</v>
      </c>
      <c r="L119" s="693"/>
      <c r="M119" s="393"/>
      <c r="N119" s="693"/>
      <c r="O119" s="393"/>
      <c r="P119" s="393"/>
      <c r="Q119" s="393"/>
      <c r="R119" s="393"/>
      <c r="S119" s="693"/>
      <c r="T119" s="693"/>
      <c r="U119" s="514"/>
      <c r="V119" s="514"/>
      <c r="W119" s="514"/>
      <c r="X119" s="996">
        <f t="shared" si="52"/>
        <v>0</v>
      </c>
      <c r="Y119" s="997">
        <f t="shared" si="53"/>
        <v>0</v>
      </c>
      <c r="Z119" s="989">
        <f t="shared" si="58"/>
        <v>0</v>
      </c>
      <c r="AA119" s="989">
        <f t="shared" si="54"/>
        <v>135000</v>
      </c>
      <c r="AB119" s="1230">
        <f t="shared" si="55"/>
        <v>162000</v>
      </c>
    </row>
    <row r="120" spans="1:28" s="712" customFormat="1" x14ac:dyDescent="0.25">
      <c r="A120" s="803" t="s">
        <v>1077</v>
      </c>
      <c r="B120" s="227"/>
      <c r="C120" s="117"/>
      <c r="D120" s="117"/>
      <c r="E120" s="117"/>
      <c r="F120" s="117"/>
      <c r="G120" s="117"/>
      <c r="H120" s="720">
        <f t="shared" si="59"/>
        <v>0</v>
      </c>
      <c r="I120" s="720">
        <f t="shared" si="60"/>
        <v>0</v>
      </c>
      <c r="J120" s="720">
        <f t="shared" si="56"/>
        <v>0</v>
      </c>
      <c r="K120" s="989">
        <f t="shared" si="57"/>
        <v>0</v>
      </c>
      <c r="L120" s="693"/>
      <c r="M120" s="393"/>
      <c r="N120" s="693"/>
      <c r="O120" s="393"/>
      <c r="P120" s="393"/>
      <c r="Q120" s="393"/>
      <c r="R120" s="393"/>
      <c r="S120" s="693"/>
      <c r="T120" s="693"/>
      <c r="U120" s="514"/>
      <c r="V120" s="514"/>
      <c r="W120" s="514"/>
      <c r="X120" s="996">
        <f t="shared" si="52"/>
        <v>0</v>
      </c>
      <c r="Y120" s="997">
        <f t="shared" si="53"/>
        <v>0</v>
      </c>
      <c r="Z120" s="989">
        <f t="shared" si="58"/>
        <v>0</v>
      </c>
      <c r="AA120" s="989">
        <f t="shared" si="54"/>
        <v>0</v>
      </c>
      <c r="AB120" s="1230">
        <f t="shared" si="55"/>
        <v>0</v>
      </c>
    </row>
    <row r="121" spans="1:28" s="712" customFormat="1" x14ac:dyDescent="0.25">
      <c r="A121" s="623" t="s">
        <v>139</v>
      </c>
      <c r="B121" s="227"/>
      <c r="C121" s="716">
        <f>30000-15000</f>
        <v>15000</v>
      </c>
      <c r="D121" s="989"/>
      <c r="E121" s="989"/>
      <c r="F121" s="989"/>
      <c r="G121" s="989"/>
      <c r="H121" s="720">
        <f t="shared" si="59"/>
        <v>15000</v>
      </c>
      <c r="I121" s="720">
        <f t="shared" si="60"/>
        <v>11250</v>
      </c>
      <c r="J121" s="720">
        <f t="shared" si="56"/>
        <v>1250</v>
      </c>
      <c r="K121" s="989">
        <f t="shared" si="57"/>
        <v>12500</v>
      </c>
      <c r="L121" s="693"/>
      <c r="M121" s="393"/>
      <c r="N121" s="693"/>
      <c r="O121" s="393"/>
      <c r="P121" s="393">
        <v>2000</v>
      </c>
      <c r="Q121" s="393">
        <v>1540</v>
      </c>
      <c r="R121" s="393"/>
      <c r="S121" s="693"/>
      <c r="T121" s="693"/>
      <c r="U121" s="514"/>
      <c r="V121" s="514"/>
      <c r="W121" s="514"/>
      <c r="X121" s="996">
        <f t="shared" si="52"/>
        <v>3540</v>
      </c>
      <c r="Y121" s="997">
        <f t="shared" si="53"/>
        <v>0</v>
      </c>
      <c r="Z121" s="989">
        <f t="shared" si="58"/>
        <v>3540</v>
      </c>
      <c r="AA121" s="989">
        <f t="shared" si="54"/>
        <v>8960</v>
      </c>
      <c r="AB121" s="1230">
        <f t="shared" si="55"/>
        <v>11460</v>
      </c>
    </row>
    <row r="122" spans="1:28" s="712" customFormat="1" x14ac:dyDescent="0.25">
      <c r="A122" s="622" t="s">
        <v>272</v>
      </c>
      <c r="B122" s="227"/>
      <c r="C122" s="716">
        <v>15000</v>
      </c>
      <c r="D122" s="989"/>
      <c r="E122" s="989"/>
      <c r="F122" s="989"/>
      <c r="G122" s="989"/>
      <c r="H122" s="720">
        <f t="shared" si="59"/>
        <v>15000</v>
      </c>
      <c r="I122" s="720">
        <f t="shared" si="60"/>
        <v>11250</v>
      </c>
      <c r="J122" s="720">
        <f t="shared" si="56"/>
        <v>1250</v>
      </c>
      <c r="K122" s="989">
        <f t="shared" si="57"/>
        <v>12500</v>
      </c>
      <c r="L122" s="693"/>
      <c r="M122" s="393"/>
      <c r="N122" s="393"/>
      <c r="O122" s="693">
        <v>7600</v>
      </c>
      <c r="P122" s="393"/>
      <c r="Q122" s="393">
        <v>900</v>
      </c>
      <c r="R122" s="393"/>
      <c r="S122" s="693">
        <v>6500</v>
      </c>
      <c r="T122" s="693"/>
      <c r="U122" s="514"/>
      <c r="V122" s="514"/>
      <c r="W122" s="514"/>
      <c r="X122" s="996">
        <f t="shared" si="52"/>
        <v>15000</v>
      </c>
      <c r="Y122" s="997">
        <f t="shared" si="53"/>
        <v>0</v>
      </c>
      <c r="Z122" s="989">
        <f t="shared" si="58"/>
        <v>15000</v>
      </c>
      <c r="AA122" s="989">
        <f t="shared" si="54"/>
        <v>-2500</v>
      </c>
      <c r="AB122" s="1230">
        <f t="shared" si="55"/>
        <v>0</v>
      </c>
    </row>
    <row r="123" spans="1:28" s="712" customFormat="1" x14ac:dyDescent="0.25">
      <c r="A123" s="623" t="s">
        <v>50</v>
      </c>
      <c r="B123" s="227"/>
      <c r="C123" s="716">
        <v>10000</v>
      </c>
      <c r="D123" s="989"/>
      <c r="E123" s="989"/>
      <c r="F123" s="989"/>
      <c r="G123" s="989"/>
      <c r="H123" s="720">
        <f t="shared" si="59"/>
        <v>10000</v>
      </c>
      <c r="I123" s="720">
        <f t="shared" si="60"/>
        <v>7500</v>
      </c>
      <c r="J123" s="720">
        <f t="shared" si="56"/>
        <v>833.33333333333337</v>
      </c>
      <c r="K123" s="989">
        <f t="shared" si="57"/>
        <v>8333.3333333333339</v>
      </c>
      <c r="L123" s="693"/>
      <c r="M123" s="393"/>
      <c r="N123" s="393"/>
      <c r="O123" s="693"/>
      <c r="P123" s="393"/>
      <c r="Q123" s="393"/>
      <c r="R123" s="393"/>
      <c r="S123" s="693"/>
      <c r="T123" s="693">
        <v>3947.5</v>
      </c>
      <c r="U123" s="514"/>
      <c r="V123" s="514"/>
      <c r="W123" s="514"/>
      <c r="X123" s="996">
        <f t="shared" si="52"/>
        <v>3947.5</v>
      </c>
      <c r="Y123" s="997">
        <f t="shared" si="53"/>
        <v>0</v>
      </c>
      <c r="Z123" s="989">
        <f t="shared" si="58"/>
        <v>3947.5</v>
      </c>
      <c r="AA123" s="989">
        <f t="shared" si="54"/>
        <v>4385.8333333333339</v>
      </c>
      <c r="AB123" s="1230">
        <f t="shared" si="55"/>
        <v>6052.5</v>
      </c>
    </row>
    <row r="124" spans="1:28" s="712" customFormat="1" x14ac:dyDescent="0.25">
      <c r="A124" s="623" t="s">
        <v>69</v>
      </c>
      <c r="B124" s="227"/>
      <c r="C124" s="720">
        <f>930000+38960</f>
        <v>968960</v>
      </c>
      <c r="D124" s="720"/>
      <c r="E124" s="720"/>
      <c r="F124" s="720"/>
      <c r="G124" s="720"/>
      <c r="H124" s="720">
        <f t="shared" si="59"/>
        <v>968960</v>
      </c>
      <c r="I124" s="720">
        <f t="shared" si="60"/>
        <v>726720</v>
      </c>
      <c r="J124" s="720">
        <f t="shared" si="56"/>
        <v>80746.666666666672</v>
      </c>
      <c r="K124" s="989">
        <f t="shared" si="57"/>
        <v>807466.66666666663</v>
      </c>
      <c r="L124" s="693">
        <v>77500</v>
      </c>
      <c r="M124" s="393">
        <v>75500</v>
      </c>
      <c r="N124" s="393">
        <v>79500</v>
      </c>
      <c r="O124" s="693">
        <v>77500</v>
      </c>
      <c r="P124" s="393"/>
      <c r="Q124" s="393">
        <v>158000</v>
      </c>
      <c r="R124" s="393"/>
      <c r="S124" s="693">
        <f>77500*2</f>
        <v>155000</v>
      </c>
      <c r="T124" s="693">
        <v>77500</v>
      </c>
      <c r="U124" s="228">
        <v>77500</v>
      </c>
      <c r="V124" s="514"/>
      <c r="W124" s="514"/>
      <c r="X124" s="996">
        <f t="shared" si="52"/>
        <v>700500</v>
      </c>
      <c r="Y124" s="997">
        <f t="shared" si="53"/>
        <v>77500</v>
      </c>
      <c r="Z124" s="989">
        <f t="shared" si="58"/>
        <v>778000</v>
      </c>
      <c r="AA124" s="989">
        <f t="shared" si="54"/>
        <v>29466.666666666628</v>
      </c>
      <c r="AB124" s="1230">
        <f t="shared" si="55"/>
        <v>190960</v>
      </c>
    </row>
    <row r="125" spans="1:28" s="712" customFormat="1" x14ac:dyDescent="0.25">
      <c r="A125" s="623" t="s">
        <v>586</v>
      </c>
      <c r="B125" s="227"/>
      <c r="C125" s="716">
        <f>30000-2600</f>
        <v>27400</v>
      </c>
      <c r="D125" s="989"/>
      <c r="E125" s="989"/>
      <c r="F125" s="989"/>
      <c r="G125" s="989"/>
      <c r="H125" s="720">
        <f t="shared" si="59"/>
        <v>27400</v>
      </c>
      <c r="I125" s="720">
        <f t="shared" si="60"/>
        <v>20550</v>
      </c>
      <c r="J125" s="720">
        <f t="shared" si="56"/>
        <v>2283.3333333333335</v>
      </c>
      <c r="K125" s="989">
        <f t="shared" si="57"/>
        <v>22833.333333333332</v>
      </c>
      <c r="L125" s="693"/>
      <c r="M125" s="393"/>
      <c r="N125" s="393"/>
      <c r="O125" s="693">
        <v>27400</v>
      </c>
      <c r="P125" s="393"/>
      <c r="Q125" s="393"/>
      <c r="R125" s="393"/>
      <c r="S125" s="693"/>
      <c r="T125" s="693"/>
      <c r="U125" s="514"/>
      <c r="V125" s="514"/>
      <c r="W125" s="514"/>
      <c r="X125" s="996">
        <f t="shared" si="52"/>
        <v>27400</v>
      </c>
      <c r="Y125" s="997">
        <f t="shared" si="53"/>
        <v>0</v>
      </c>
      <c r="Z125" s="989">
        <f t="shared" si="58"/>
        <v>27400</v>
      </c>
      <c r="AA125" s="989">
        <f t="shared" si="54"/>
        <v>-4566.6666666666679</v>
      </c>
      <c r="AB125" s="1230">
        <f t="shared" si="55"/>
        <v>0</v>
      </c>
    </row>
    <row r="126" spans="1:28" s="712" customFormat="1" x14ac:dyDescent="0.25">
      <c r="A126" s="802" t="s">
        <v>1078</v>
      </c>
      <c r="B126" s="227"/>
      <c r="C126" s="720"/>
      <c r="D126" s="720"/>
      <c r="E126" s="720"/>
      <c r="F126" s="720"/>
      <c r="G126" s="720"/>
      <c r="H126" s="720">
        <f t="shared" si="59"/>
        <v>0</v>
      </c>
      <c r="I126" s="720">
        <f t="shared" si="60"/>
        <v>0</v>
      </c>
      <c r="J126" s="720">
        <f t="shared" si="56"/>
        <v>0</v>
      </c>
      <c r="K126" s="989">
        <f t="shared" si="57"/>
        <v>0</v>
      </c>
      <c r="L126" s="693"/>
      <c r="M126" s="393"/>
      <c r="N126" s="393"/>
      <c r="O126" s="693"/>
      <c r="P126" s="393"/>
      <c r="Q126" s="393"/>
      <c r="R126" s="393"/>
      <c r="S126" s="693"/>
      <c r="T126" s="693"/>
      <c r="U126" s="514"/>
      <c r="V126" s="514"/>
      <c r="W126" s="514"/>
      <c r="X126" s="996">
        <f t="shared" si="52"/>
        <v>0</v>
      </c>
      <c r="Y126" s="997">
        <f t="shared" si="53"/>
        <v>0</v>
      </c>
      <c r="Z126" s="990">
        <f t="shared" si="58"/>
        <v>0</v>
      </c>
      <c r="AA126" s="989">
        <f t="shared" si="54"/>
        <v>0</v>
      </c>
      <c r="AB126" s="1230">
        <f t="shared" si="55"/>
        <v>0</v>
      </c>
    </row>
    <row r="127" spans="1:28" s="712" customFormat="1" x14ac:dyDescent="0.25">
      <c r="A127" s="623" t="s">
        <v>1079</v>
      </c>
      <c r="B127" s="227"/>
      <c r="C127" s="720">
        <v>10000</v>
      </c>
      <c r="D127" s="720"/>
      <c r="E127" s="720"/>
      <c r="F127" s="720"/>
      <c r="G127" s="720"/>
      <c r="H127" s="720">
        <f t="shared" si="59"/>
        <v>10000</v>
      </c>
      <c r="I127" s="720">
        <f t="shared" si="60"/>
        <v>7500</v>
      </c>
      <c r="J127" s="720">
        <f t="shared" si="56"/>
        <v>833.33333333333337</v>
      </c>
      <c r="K127" s="989">
        <f t="shared" si="57"/>
        <v>8333.3333333333339</v>
      </c>
      <c r="L127" s="693"/>
      <c r="M127" s="393"/>
      <c r="N127" s="393"/>
      <c r="O127" s="393"/>
      <c r="P127" s="393"/>
      <c r="Q127" s="393"/>
      <c r="R127" s="393"/>
      <c r="S127" s="693"/>
      <c r="T127" s="693"/>
      <c r="U127" s="514"/>
      <c r="V127" s="514"/>
      <c r="W127" s="514"/>
      <c r="X127" s="996">
        <f t="shared" si="52"/>
        <v>0</v>
      </c>
      <c r="Y127" s="997">
        <f t="shared" si="53"/>
        <v>0</v>
      </c>
      <c r="Z127" s="990">
        <f t="shared" si="58"/>
        <v>0</v>
      </c>
      <c r="AA127" s="989">
        <f t="shared" si="54"/>
        <v>8333.3333333333339</v>
      </c>
      <c r="AB127" s="1230">
        <f t="shared" si="55"/>
        <v>10000</v>
      </c>
    </row>
    <row r="128" spans="1:28" s="712" customFormat="1" x14ac:dyDescent="0.25">
      <c r="A128" s="623" t="s">
        <v>583</v>
      </c>
      <c r="B128" s="227"/>
      <c r="C128" s="720">
        <f>35000-19000</f>
        <v>16000</v>
      </c>
      <c r="D128" s="720"/>
      <c r="E128" s="720"/>
      <c r="F128" s="720"/>
      <c r="G128" s="720"/>
      <c r="H128" s="720">
        <f t="shared" si="59"/>
        <v>16000</v>
      </c>
      <c r="I128" s="720">
        <f t="shared" si="60"/>
        <v>12000</v>
      </c>
      <c r="J128" s="720">
        <f t="shared" si="56"/>
        <v>1333.3333333333333</v>
      </c>
      <c r="K128" s="989">
        <f t="shared" si="57"/>
        <v>13333.333333333334</v>
      </c>
      <c r="L128" s="693"/>
      <c r="M128" s="393"/>
      <c r="N128" s="393"/>
      <c r="O128" s="393"/>
      <c r="P128" s="393"/>
      <c r="Q128" s="393"/>
      <c r="R128" s="393"/>
      <c r="S128" s="693"/>
      <c r="T128" s="693"/>
      <c r="U128" s="514"/>
      <c r="V128" s="514"/>
      <c r="W128" s="514"/>
      <c r="X128" s="996">
        <f t="shared" si="52"/>
        <v>0</v>
      </c>
      <c r="Y128" s="997">
        <f t="shared" si="53"/>
        <v>0</v>
      </c>
      <c r="Z128" s="990">
        <f t="shared" si="58"/>
        <v>0</v>
      </c>
      <c r="AA128" s="989">
        <f t="shared" si="54"/>
        <v>13333.333333333334</v>
      </c>
      <c r="AB128" s="1230">
        <f t="shared" si="55"/>
        <v>16000</v>
      </c>
    </row>
    <row r="129" spans="1:28" s="712" customFormat="1" x14ac:dyDescent="0.25">
      <c r="A129" s="623" t="s">
        <v>152</v>
      </c>
      <c r="B129" s="227"/>
      <c r="C129" s="720">
        <f>15000-5000</f>
        <v>10000</v>
      </c>
      <c r="D129" s="720"/>
      <c r="E129" s="720"/>
      <c r="F129" s="720"/>
      <c r="G129" s="720"/>
      <c r="H129" s="720">
        <f t="shared" si="59"/>
        <v>10000</v>
      </c>
      <c r="I129" s="720">
        <f t="shared" si="60"/>
        <v>7500</v>
      </c>
      <c r="J129" s="720">
        <f t="shared" si="56"/>
        <v>833.33333333333337</v>
      </c>
      <c r="K129" s="989">
        <f t="shared" si="57"/>
        <v>8333.3333333333339</v>
      </c>
      <c r="L129" s="693"/>
      <c r="M129" s="393"/>
      <c r="N129" s="393"/>
      <c r="O129" s="393"/>
      <c r="P129" s="393"/>
      <c r="Q129" s="393"/>
      <c r="R129" s="393"/>
      <c r="S129" s="693"/>
      <c r="T129" s="693"/>
      <c r="U129" s="514"/>
      <c r="V129" s="514"/>
      <c r="W129" s="514"/>
      <c r="X129" s="996">
        <f t="shared" si="52"/>
        <v>0</v>
      </c>
      <c r="Y129" s="997">
        <f t="shared" si="53"/>
        <v>0</v>
      </c>
      <c r="Z129" s="990">
        <f t="shared" si="58"/>
        <v>0</v>
      </c>
      <c r="AA129" s="989">
        <f t="shared" si="54"/>
        <v>8333.3333333333339</v>
      </c>
      <c r="AB129" s="1230">
        <f t="shared" si="55"/>
        <v>10000</v>
      </c>
    </row>
    <row r="130" spans="1:28" s="712" customFormat="1" x14ac:dyDescent="0.25">
      <c r="A130" s="623" t="s">
        <v>586</v>
      </c>
      <c r="B130" s="227"/>
      <c r="C130" s="720">
        <f>40000-10000</f>
        <v>30000</v>
      </c>
      <c r="D130" s="720"/>
      <c r="E130" s="720"/>
      <c r="F130" s="720"/>
      <c r="G130" s="720"/>
      <c r="H130" s="720">
        <f t="shared" si="59"/>
        <v>30000</v>
      </c>
      <c r="I130" s="720">
        <f t="shared" si="60"/>
        <v>22500</v>
      </c>
      <c r="J130" s="720">
        <f t="shared" si="56"/>
        <v>2500</v>
      </c>
      <c r="K130" s="989">
        <f t="shared" si="57"/>
        <v>25000</v>
      </c>
      <c r="L130" s="693"/>
      <c r="M130" s="393"/>
      <c r="N130" s="393"/>
      <c r="O130" s="393"/>
      <c r="P130" s="393"/>
      <c r="Q130" s="393"/>
      <c r="R130" s="393"/>
      <c r="S130" s="693"/>
      <c r="T130" s="693"/>
      <c r="U130" s="514"/>
      <c r="V130" s="514"/>
      <c r="W130" s="514"/>
      <c r="X130" s="996">
        <f t="shared" si="52"/>
        <v>0</v>
      </c>
      <c r="Y130" s="997">
        <f t="shared" si="53"/>
        <v>0</v>
      </c>
      <c r="Z130" s="990">
        <f t="shared" si="58"/>
        <v>0</v>
      </c>
      <c r="AA130" s="989">
        <f t="shared" si="54"/>
        <v>25000</v>
      </c>
      <c r="AB130" s="1230">
        <f t="shared" si="55"/>
        <v>30000</v>
      </c>
    </row>
    <row r="131" spans="1:28" s="712" customFormat="1" x14ac:dyDescent="0.25">
      <c r="A131" s="806" t="s">
        <v>1045</v>
      </c>
      <c r="B131" s="227"/>
      <c r="C131" s="716"/>
      <c r="D131" s="989"/>
      <c r="E131" s="989"/>
      <c r="F131" s="989"/>
      <c r="G131" s="989"/>
      <c r="H131" s="720">
        <f t="shared" si="59"/>
        <v>0</v>
      </c>
      <c r="I131" s="720">
        <f t="shared" si="60"/>
        <v>0</v>
      </c>
      <c r="J131" s="720">
        <f t="shared" si="56"/>
        <v>0</v>
      </c>
      <c r="K131" s="989">
        <f t="shared" si="57"/>
        <v>0</v>
      </c>
      <c r="L131" s="693"/>
      <c r="M131" s="393"/>
      <c r="N131" s="393"/>
      <c r="O131" s="393"/>
      <c r="P131" s="393"/>
      <c r="Q131" s="393"/>
      <c r="R131" s="393"/>
      <c r="S131" s="393"/>
      <c r="T131" s="393"/>
      <c r="U131" s="514"/>
      <c r="V131" s="514"/>
      <c r="W131" s="514"/>
      <c r="X131" s="996">
        <f t="shared" si="52"/>
        <v>0</v>
      </c>
      <c r="Y131" s="997">
        <f t="shared" si="53"/>
        <v>0</v>
      </c>
      <c r="Z131" s="990">
        <f t="shared" si="58"/>
        <v>0</v>
      </c>
      <c r="AA131" s="989">
        <f t="shared" si="54"/>
        <v>0</v>
      </c>
      <c r="AB131" s="1230">
        <f t="shared" si="55"/>
        <v>0</v>
      </c>
    </row>
    <row r="132" spans="1:28" s="712" customFormat="1" x14ac:dyDescent="0.25">
      <c r="A132" s="796" t="s">
        <v>1044</v>
      </c>
      <c r="B132" s="227"/>
      <c r="C132" s="716"/>
      <c r="D132" s="989"/>
      <c r="E132" s="989"/>
      <c r="F132" s="989"/>
      <c r="G132" s="989"/>
      <c r="H132" s="720">
        <f t="shared" si="59"/>
        <v>0</v>
      </c>
      <c r="I132" s="720">
        <f t="shared" si="60"/>
        <v>0</v>
      </c>
      <c r="J132" s="720">
        <f t="shared" si="56"/>
        <v>0</v>
      </c>
      <c r="K132" s="989">
        <f t="shared" si="57"/>
        <v>0</v>
      </c>
      <c r="L132" s="693"/>
      <c r="M132" s="393"/>
      <c r="N132" s="393"/>
      <c r="O132" s="393"/>
      <c r="P132" s="393"/>
      <c r="Q132" s="393"/>
      <c r="R132" s="393"/>
      <c r="S132" s="393"/>
      <c r="T132" s="393"/>
      <c r="U132" s="514"/>
      <c r="V132" s="514"/>
      <c r="W132" s="514"/>
      <c r="X132" s="996">
        <f t="shared" si="52"/>
        <v>0</v>
      </c>
      <c r="Y132" s="997">
        <f t="shared" si="53"/>
        <v>0</v>
      </c>
      <c r="Z132" s="990">
        <f t="shared" si="58"/>
        <v>0</v>
      </c>
      <c r="AA132" s="989">
        <f t="shared" si="54"/>
        <v>0</v>
      </c>
      <c r="AB132" s="1230">
        <f t="shared" si="55"/>
        <v>0</v>
      </c>
    </row>
    <row r="133" spans="1:28" s="712" customFormat="1" x14ac:dyDescent="0.25">
      <c r="A133" s="281" t="s">
        <v>1080</v>
      </c>
      <c r="B133" s="227"/>
      <c r="C133" s="117">
        <v>20000</v>
      </c>
      <c r="D133" s="117"/>
      <c r="E133" s="117"/>
      <c r="F133" s="117"/>
      <c r="G133" s="117"/>
      <c r="H133" s="720">
        <f t="shared" si="59"/>
        <v>20000</v>
      </c>
      <c r="I133" s="720">
        <f t="shared" si="60"/>
        <v>15000</v>
      </c>
      <c r="J133" s="720">
        <f t="shared" si="56"/>
        <v>1666.6666666666667</v>
      </c>
      <c r="K133" s="989">
        <f t="shared" si="57"/>
        <v>16666.666666666668</v>
      </c>
      <c r="L133" s="693"/>
      <c r="M133" s="393"/>
      <c r="N133" s="393"/>
      <c r="O133" s="393"/>
      <c r="P133" s="393"/>
      <c r="Q133" s="393"/>
      <c r="R133" s="393"/>
      <c r="S133" s="393"/>
      <c r="T133" s="393"/>
      <c r="U133" s="514"/>
      <c r="V133" s="514"/>
      <c r="W133" s="514"/>
      <c r="X133" s="996">
        <f t="shared" si="52"/>
        <v>0</v>
      </c>
      <c r="Y133" s="997">
        <f t="shared" si="53"/>
        <v>0</v>
      </c>
      <c r="Z133" s="716">
        <f t="shared" ref="Z133" si="61">X133+Y133</f>
        <v>0</v>
      </c>
      <c r="AA133" s="989">
        <f t="shared" si="54"/>
        <v>16666.666666666668</v>
      </c>
      <c r="AB133" s="1230">
        <f t="shared" si="55"/>
        <v>20000</v>
      </c>
    </row>
    <row r="134" spans="1:28" ht="15.75" thickBot="1" x14ac:dyDescent="0.3">
      <c r="A134" s="616" t="s">
        <v>160</v>
      </c>
      <c r="B134" s="370"/>
      <c r="C134" s="617">
        <f>SUM(C87:C133)</f>
        <v>6021560</v>
      </c>
      <c r="D134" s="617"/>
      <c r="E134" s="617">
        <f>SUM(E87:E133)</f>
        <v>0</v>
      </c>
      <c r="F134" s="617">
        <f t="shared" ref="F134:AB134" si="62">SUM(F87:F133)</f>
        <v>50000</v>
      </c>
      <c r="G134" s="617">
        <f t="shared" si="62"/>
        <v>0</v>
      </c>
      <c r="H134" s="617">
        <f t="shared" si="62"/>
        <v>6071560</v>
      </c>
      <c r="I134" s="617">
        <f t="shared" si="62"/>
        <v>4553670</v>
      </c>
      <c r="J134" s="617">
        <f t="shared" si="62"/>
        <v>505963.33333333314</v>
      </c>
      <c r="K134" s="617">
        <f t="shared" si="62"/>
        <v>5059633.333333334</v>
      </c>
      <c r="L134" s="617">
        <f t="shared" si="62"/>
        <v>175000</v>
      </c>
      <c r="M134" s="617">
        <f t="shared" si="62"/>
        <v>269071</v>
      </c>
      <c r="N134" s="617">
        <f t="shared" si="62"/>
        <v>611473</v>
      </c>
      <c r="O134" s="617">
        <f t="shared" si="62"/>
        <v>357720</v>
      </c>
      <c r="P134" s="617">
        <f t="shared" si="62"/>
        <v>61100</v>
      </c>
      <c r="Q134" s="617">
        <f t="shared" si="62"/>
        <v>448440</v>
      </c>
      <c r="R134" s="617">
        <f t="shared" si="62"/>
        <v>445300</v>
      </c>
      <c r="S134" s="617">
        <f t="shared" si="62"/>
        <v>426400</v>
      </c>
      <c r="T134" s="617">
        <f t="shared" si="62"/>
        <v>454527.5</v>
      </c>
      <c r="U134" s="617">
        <f t="shared" si="62"/>
        <v>475500</v>
      </c>
      <c r="V134" s="617">
        <f t="shared" si="62"/>
        <v>0</v>
      </c>
      <c r="W134" s="617">
        <f t="shared" si="62"/>
        <v>0</v>
      </c>
      <c r="X134" s="617">
        <f t="shared" si="62"/>
        <v>3249031.5</v>
      </c>
      <c r="Y134" s="617">
        <f t="shared" si="62"/>
        <v>475500</v>
      </c>
      <c r="Z134" s="617">
        <f t="shared" si="62"/>
        <v>3724531.5</v>
      </c>
      <c r="AA134" s="617">
        <f t="shared" si="62"/>
        <v>1335101.8333333328</v>
      </c>
      <c r="AB134" s="1334">
        <f t="shared" si="62"/>
        <v>2347028.5</v>
      </c>
    </row>
    <row r="135" spans="1:28" ht="15.75" thickTop="1" x14ac:dyDescent="0.25">
      <c r="A135" s="618"/>
    </row>
    <row r="136" spans="1:28" x14ac:dyDescent="0.25">
      <c r="A136" s="21" t="s">
        <v>354</v>
      </c>
      <c r="B136" s="30"/>
      <c r="C136" s="35"/>
      <c r="D136" s="35"/>
      <c r="E136" s="35"/>
      <c r="F136" s="35"/>
      <c r="G136" s="35"/>
      <c r="H136" s="35"/>
      <c r="I136" s="35"/>
      <c r="J136" s="35"/>
      <c r="AA136" s="259" t="s">
        <v>357</v>
      </c>
    </row>
    <row r="138" spans="1:28" x14ac:dyDescent="0.25">
      <c r="B138" s="32"/>
      <c r="C138" s="36"/>
      <c r="D138" s="36"/>
      <c r="E138" s="36"/>
      <c r="F138" s="36"/>
      <c r="G138" s="36"/>
      <c r="H138" s="36"/>
      <c r="I138" s="36"/>
      <c r="J138" s="36"/>
    </row>
    <row r="139" spans="1:28" x14ac:dyDescent="0.25">
      <c r="A139" s="258" t="s">
        <v>355</v>
      </c>
      <c r="B139" s="14"/>
      <c r="C139" s="31"/>
      <c r="D139" s="31"/>
      <c r="E139" s="31"/>
      <c r="F139" s="31"/>
      <c r="G139" s="31"/>
      <c r="H139" s="31"/>
      <c r="I139" s="31"/>
      <c r="J139" s="31"/>
      <c r="AA139" s="260" t="s">
        <v>358</v>
      </c>
    </row>
    <row r="140" spans="1:28" x14ac:dyDescent="0.25">
      <c r="A140" s="259" t="s">
        <v>356</v>
      </c>
      <c r="AA140" s="259" t="s">
        <v>359</v>
      </c>
    </row>
    <row r="148" spans="12:24" x14ac:dyDescent="0.25">
      <c r="L148" s="303">
        <f>L57+L134</f>
        <v>216788.83000000002</v>
      </c>
      <c r="X148" s="619"/>
    </row>
  </sheetData>
  <mergeCells count="6">
    <mergeCell ref="A82:AB82"/>
    <mergeCell ref="A1:AB1"/>
    <mergeCell ref="A2:AB2"/>
    <mergeCell ref="A3:AB3"/>
    <mergeCell ref="A80:AB80"/>
    <mergeCell ref="A81:AB81"/>
  </mergeCells>
  <printOptions horizontalCentered="1" headings="1"/>
  <pageMargins left="0.7" right="0.2" top="1.25" bottom="0.25" header="0.3" footer="0.3"/>
  <pageSetup paperSize="5" scale="63" orientation="landscape" r:id="rId1"/>
  <rowBreaks count="3" manualBreakCount="3">
    <brk id="39" max="24" man="1"/>
    <brk id="75" max="16383" man="1"/>
    <brk id="112" max="16383" man="1"/>
  </rowBreaks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5"/>
  <sheetViews>
    <sheetView view="pageBreakPreview" topLeftCell="A14" zoomScale="75" zoomScaleNormal="100" zoomScaleSheetLayoutView="75" workbookViewId="0">
      <pane xSplit="1" topLeftCell="AA1" activePane="topRight" state="frozen"/>
      <selection pane="topRight" activeCell="AA42" sqref="AA42"/>
    </sheetView>
  </sheetViews>
  <sheetFormatPr defaultRowHeight="15" outlineLevelCol="1" x14ac:dyDescent="0.25"/>
  <cols>
    <col min="1" max="1" width="42.5703125" style="1090" customWidth="1"/>
    <col min="2" max="2" width="12.7109375" style="1090" customWidth="1"/>
    <col min="3" max="3" width="14.140625" style="1090" customWidth="1"/>
    <col min="4" max="4" width="16.5703125" style="1090" customWidth="1"/>
    <col min="5" max="8" width="14.140625" style="1090" customWidth="1"/>
    <col min="9" max="9" width="17.5703125" style="1090" customWidth="1"/>
    <col min="10" max="12" width="14.140625" style="1090" customWidth="1"/>
    <col min="13" max="13" width="15.140625" style="1090" customWidth="1"/>
    <col min="14" max="14" width="15.5703125" style="1090" customWidth="1"/>
    <col min="15" max="18" width="12.7109375" style="1234" hidden="1" customWidth="1" outlineLevel="1"/>
    <col min="19" max="20" width="16.140625" style="1234" hidden="1" customWidth="1" outlineLevel="1"/>
    <col min="21" max="21" width="15.42578125" style="1234" hidden="1" customWidth="1" outlineLevel="1"/>
    <col min="22" max="22" width="16.42578125" style="1234" hidden="1" customWidth="1" outlineLevel="1"/>
    <col min="23" max="23" width="15.7109375" style="1234" hidden="1" customWidth="1" outlineLevel="1"/>
    <col min="24" max="24" width="15.140625" style="1234" hidden="1" customWidth="1" outlineLevel="1"/>
    <col min="25" max="26" width="12.7109375" style="1234" hidden="1" customWidth="1" outlineLevel="1"/>
    <col min="27" max="27" width="14.42578125" style="1234" customWidth="1" collapsed="1"/>
    <col min="28" max="28" width="12.7109375" style="1090" customWidth="1"/>
    <col min="29" max="29" width="14.5703125" style="1090" customWidth="1"/>
    <col min="30" max="30" width="14.28515625" style="1090" customWidth="1"/>
    <col min="31" max="31" width="15.7109375" style="1090" customWidth="1"/>
    <col min="32" max="16384" width="9.140625" style="1090"/>
  </cols>
  <sheetData>
    <row r="1" spans="1:31" x14ac:dyDescent="0.25">
      <c r="A1" s="1443" t="s">
        <v>352</v>
      </c>
      <c r="B1" s="1443"/>
      <c r="C1" s="1443"/>
      <c r="D1" s="1443"/>
      <c r="E1" s="1443"/>
      <c r="F1" s="1443"/>
      <c r="G1" s="1443"/>
      <c r="H1" s="1443"/>
      <c r="I1" s="1443"/>
      <c r="J1" s="1443"/>
      <c r="K1" s="1443"/>
      <c r="L1" s="1443"/>
      <c r="M1" s="1443"/>
      <c r="N1" s="1443"/>
      <c r="O1" s="1443"/>
      <c r="P1" s="1443"/>
      <c r="Q1" s="1443"/>
      <c r="R1" s="1443"/>
      <c r="S1" s="1443"/>
      <c r="T1" s="1443"/>
      <c r="U1" s="1443"/>
      <c r="V1" s="1443"/>
      <c r="W1" s="1443"/>
      <c r="X1" s="1443"/>
      <c r="Y1" s="1443"/>
      <c r="Z1" s="1443"/>
      <c r="AA1" s="1443"/>
      <c r="AB1" s="1443"/>
      <c r="AC1" s="1443"/>
      <c r="AD1" s="1443"/>
      <c r="AE1" s="1443"/>
    </row>
    <row r="2" spans="1:31" x14ac:dyDescent="0.25">
      <c r="A2" s="1443" t="s">
        <v>353</v>
      </c>
      <c r="B2" s="1443"/>
      <c r="C2" s="1443"/>
      <c r="D2" s="1443"/>
      <c r="E2" s="1443"/>
      <c r="F2" s="1443"/>
      <c r="G2" s="1443"/>
      <c r="H2" s="1443"/>
      <c r="I2" s="1443"/>
      <c r="J2" s="1443"/>
      <c r="K2" s="1443"/>
      <c r="L2" s="1443"/>
      <c r="M2" s="1443"/>
      <c r="N2" s="1443"/>
      <c r="O2" s="1443"/>
      <c r="P2" s="1443"/>
      <c r="Q2" s="1443"/>
      <c r="R2" s="1443"/>
      <c r="S2" s="1443"/>
      <c r="T2" s="1443"/>
      <c r="U2" s="1443"/>
      <c r="V2" s="1443"/>
      <c r="W2" s="1443"/>
      <c r="X2" s="1443"/>
      <c r="Y2" s="1443"/>
      <c r="Z2" s="1443"/>
      <c r="AA2" s="1443"/>
      <c r="AB2" s="1443"/>
      <c r="AC2" s="1443"/>
      <c r="AD2" s="1443"/>
      <c r="AE2" s="1443"/>
    </row>
    <row r="3" spans="1:31" ht="0.75" customHeight="1" thickBot="1" x14ac:dyDescent="0.3">
      <c r="A3" s="1444" t="str">
        <f>'7611-MSWDO'!A3:AB3</f>
        <v>For the Period October 1-31, 2021</v>
      </c>
      <c r="B3" s="1444"/>
      <c r="C3" s="1444"/>
      <c r="D3" s="1444"/>
      <c r="E3" s="1444"/>
      <c r="F3" s="1444"/>
      <c r="G3" s="1444"/>
      <c r="H3" s="1444"/>
      <c r="I3" s="1444"/>
      <c r="J3" s="1444"/>
      <c r="K3" s="1442"/>
      <c r="L3" s="1442"/>
      <c r="M3" s="1442"/>
      <c r="N3" s="1442"/>
      <c r="O3" s="1442"/>
      <c r="P3" s="1442"/>
      <c r="Q3" s="1442"/>
      <c r="R3" s="1442"/>
      <c r="S3" s="1442"/>
      <c r="T3" s="1442"/>
      <c r="U3" s="1442"/>
      <c r="V3" s="1442"/>
      <c r="W3" s="1442"/>
      <c r="X3" s="1442"/>
      <c r="Y3" s="1442"/>
      <c r="Z3" s="1442"/>
      <c r="AA3" s="1442"/>
      <c r="AB3" s="1442"/>
      <c r="AC3" s="1442"/>
      <c r="AD3" s="1442"/>
      <c r="AE3" s="1442"/>
    </row>
    <row r="4" spans="1:31" ht="51.75" customHeight="1" thickTop="1" x14ac:dyDescent="0.25">
      <c r="A4" s="1044" t="s">
        <v>347</v>
      </c>
      <c r="B4" s="1044" t="s">
        <v>2</v>
      </c>
      <c r="C4" s="1044" t="s">
        <v>133</v>
      </c>
      <c r="D4" s="1335" t="s">
        <v>1392</v>
      </c>
      <c r="E4" s="1044" t="s">
        <v>1374</v>
      </c>
      <c r="F4" s="1044" t="s">
        <v>1324</v>
      </c>
      <c r="G4" s="1335" t="s">
        <v>1334</v>
      </c>
      <c r="H4" s="1335" t="s">
        <v>1205</v>
      </c>
      <c r="I4" s="1335" t="s">
        <v>1338</v>
      </c>
      <c r="J4" s="1044" t="s">
        <v>1227</v>
      </c>
      <c r="K4" s="1044" t="s">
        <v>1</v>
      </c>
      <c r="L4" s="1044" t="s">
        <v>316</v>
      </c>
      <c r="M4" s="1044" t="s">
        <v>314</v>
      </c>
      <c r="N4" s="318" t="s">
        <v>346</v>
      </c>
      <c r="O4" s="1336"/>
      <c r="P4" s="1336"/>
      <c r="Q4" s="1336"/>
      <c r="R4" s="1336"/>
      <c r="S4" s="751"/>
      <c r="T4" s="751"/>
      <c r="U4" s="751"/>
      <c r="V4" s="751"/>
      <c r="W4" s="751"/>
      <c r="X4" s="751"/>
      <c r="Y4" s="751"/>
      <c r="Z4" s="751"/>
      <c r="AA4" s="318" t="s">
        <v>316</v>
      </c>
      <c r="AB4" s="318" t="s">
        <v>348</v>
      </c>
      <c r="AC4" s="318" t="s">
        <v>1</v>
      </c>
      <c r="AD4" s="318" t="s">
        <v>131</v>
      </c>
      <c r="AE4" s="318" t="s">
        <v>131</v>
      </c>
    </row>
    <row r="5" spans="1:31" ht="15.75" thickBot="1" x14ac:dyDescent="0.3">
      <c r="A5" s="1044" t="s">
        <v>1319</v>
      </c>
      <c r="B5" s="1044" t="s">
        <v>3</v>
      </c>
      <c r="C5" s="1044" t="s">
        <v>134</v>
      </c>
      <c r="D5" s="1337">
        <v>44473</v>
      </c>
      <c r="E5" s="1337">
        <v>44459</v>
      </c>
      <c r="F5" s="1044" t="s">
        <v>1326</v>
      </c>
      <c r="G5" s="1337">
        <v>44403</v>
      </c>
      <c r="H5" s="1337" t="s">
        <v>1354</v>
      </c>
      <c r="I5" s="1337" t="s">
        <v>1342</v>
      </c>
      <c r="J5" s="1337">
        <v>44305</v>
      </c>
      <c r="K5" s="1338" t="s">
        <v>314</v>
      </c>
      <c r="L5" s="1338" t="s">
        <v>314</v>
      </c>
      <c r="M5" s="1338" t="s">
        <v>315</v>
      </c>
      <c r="N5" s="1308" t="s">
        <v>315</v>
      </c>
      <c r="O5" s="1339" t="s">
        <v>0</v>
      </c>
      <c r="P5" s="1339" t="s">
        <v>120</v>
      </c>
      <c r="Q5" s="1339" t="s">
        <v>121</v>
      </c>
      <c r="R5" s="1339" t="s">
        <v>122</v>
      </c>
      <c r="S5" s="1339" t="s">
        <v>123</v>
      </c>
      <c r="T5" s="1339" t="s">
        <v>124</v>
      </c>
      <c r="U5" s="1339" t="s">
        <v>125</v>
      </c>
      <c r="V5" s="1339" t="s">
        <v>126</v>
      </c>
      <c r="W5" s="1339" t="s">
        <v>127</v>
      </c>
      <c r="X5" s="1339" t="s">
        <v>128</v>
      </c>
      <c r="Y5" s="1339" t="s">
        <v>129</v>
      </c>
      <c r="Z5" s="1339" t="s">
        <v>130</v>
      </c>
      <c r="AA5" s="1308" t="s">
        <v>317</v>
      </c>
      <c r="AB5" s="1308" t="s">
        <v>315</v>
      </c>
      <c r="AC5" s="1308" t="s">
        <v>317</v>
      </c>
      <c r="AD5" s="1308" t="s">
        <v>314</v>
      </c>
      <c r="AE5" s="1308" t="s">
        <v>132</v>
      </c>
    </row>
    <row r="6" spans="1:31" ht="15.75" thickTop="1" x14ac:dyDescent="0.25">
      <c r="A6" s="1340" t="s">
        <v>712</v>
      </c>
      <c r="B6" s="1309"/>
      <c r="C6" s="1309"/>
      <c r="D6" s="1309"/>
      <c r="E6" s="1309"/>
      <c r="F6" s="1309"/>
      <c r="G6" s="1309"/>
      <c r="H6" s="1309"/>
      <c r="I6" s="1309"/>
      <c r="J6" s="1309"/>
      <c r="K6" s="1341"/>
      <c r="L6" s="1341"/>
      <c r="M6" s="1341"/>
      <c r="N6" s="1341"/>
      <c r="O6" s="1342"/>
      <c r="P6" s="1342"/>
      <c r="Q6" s="1342"/>
      <c r="R6" s="1342"/>
      <c r="S6" s="1342"/>
      <c r="T6" s="1342"/>
      <c r="U6" s="1342"/>
      <c r="V6" s="1342"/>
      <c r="W6" s="1342"/>
      <c r="X6" s="1342"/>
      <c r="Y6" s="1342"/>
      <c r="Z6" s="1342"/>
      <c r="AA6" s="1342"/>
      <c r="AB6" s="1341"/>
      <c r="AC6" s="1341"/>
      <c r="AD6" s="1341"/>
      <c r="AE6" s="1341"/>
    </row>
    <row r="7" spans="1:31" x14ac:dyDescent="0.25">
      <c r="A7" s="1343" t="s">
        <v>659</v>
      </c>
      <c r="B7" s="113"/>
      <c r="C7" s="1344"/>
      <c r="D7" s="1344"/>
      <c r="E7" s="1344"/>
      <c r="F7" s="1344"/>
      <c r="G7" s="1344"/>
      <c r="H7" s="1344"/>
      <c r="I7" s="1344"/>
      <c r="J7" s="1344"/>
      <c r="K7" s="1344"/>
      <c r="L7" s="1344"/>
      <c r="M7" s="1344"/>
      <c r="N7" s="1229"/>
      <c r="O7" s="1228"/>
      <c r="P7" s="1228"/>
      <c r="Q7" s="1228"/>
      <c r="R7" s="1228"/>
      <c r="S7" s="1228"/>
      <c r="T7" s="1228"/>
      <c r="U7" s="1228"/>
      <c r="V7" s="1228"/>
      <c r="W7" s="1228"/>
      <c r="X7" s="1228"/>
      <c r="Y7" s="1228"/>
      <c r="Z7" s="1228"/>
      <c r="AA7" s="1228"/>
      <c r="AB7" s="1229"/>
      <c r="AC7" s="677"/>
      <c r="AD7" s="677"/>
      <c r="AE7" s="1229"/>
    </row>
    <row r="8" spans="1:31" x14ac:dyDescent="0.25">
      <c r="A8" s="456" t="s">
        <v>660</v>
      </c>
      <c r="B8" s="1345" t="s">
        <v>6</v>
      </c>
      <c r="C8" s="677">
        <v>2804882</v>
      </c>
      <c r="D8" s="677"/>
      <c r="E8" s="677">
        <f>-16964</f>
        <v>-16964</v>
      </c>
      <c r="F8" s="677">
        <f>-33928</f>
        <v>-33928</v>
      </c>
      <c r="G8" s="677"/>
      <c r="H8" s="677"/>
      <c r="I8" s="677">
        <f>-67856</f>
        <v>-67856</v>
      </c>
      <c r="J8" s="677"/>
      <c r="K8" s="113">
        <f t="shared" ref="K8:K28" si="0">SUM(C8:J8)</f>
        <v>2686134</v>
      </c>
      <c r="L8" s="113">
        <f>K8/12*9</f>
        <v>2014600.5</v>
      </c>
      <c r="M8" s="113">
        <f>K8/12</f>
        <v>223844.5</v>
      </c>
      <c r="N8" s="677">
        <f>L8+M8</f>
        <v>2238445</v>
      </c>
      <c r="O8" s="1228">
        <v>191862</v>
      </c>
      <c r="P8" s="1228">
        <v>191862</v>
      </c>
      <c r="Q8" s="1228">
        <v>194135.31</v>
      </c>
      <c r="R8" s="1228">
        <v>221842</v>
      </c>
      <c r="S8" s="1228">
        <v>199898</v>
      </c>
      <c r="T8" s="1228">
        <v>216862</v>
      </c>
      <c r="U8" s="1228">
        <v>216862</v>
      </c>
      <c r="V8" s="1228">
        <v>216862</v>
      </c>
      <c r="W8" s="1228">
        <v>216862</v>
      </c>
      <c r="X8" s="1228">
        <v>216972.05</v>
      </c>
      <c r="Y8" s="1228"/>
      <c r="Z8" s="1228"/>
      <c r="AA8" s="1228">
        <f>O8+P8+Q8+R8+S8+T8+U8+V8+W8</f>
        <v>1867047.31</v>
      </c>
      <c r="AB8" s="1228">
        <f>X8</f>
        <v>216972.05</v>
      </c>
      <c r="AC8" s="677">
        <f>AA8+AB8</f>
        <v>2084019.36</v>
      </c>
      <c r="AD8" s="677">
        <f>N8-AC8</f>
        <v>154425.6399999999</v>
      </c>
      <c r="AE8" s="1230">
        <f>K8-AC8</f>
        <v>602114.6399999999</v>
      </c>
    </row>
    <row r="9" spans="1:31" x14ac:dyDescent="0.25">
      <c r="A9" s="1343" t="s">
        <v>661</v>
      </c>
      <c r="B9" s="1345"/>
      <c r="C9" s="677"/>
      <c r="D9" s="677"/>
      <c r="E9" s="677"/>
      <c r="F9" s="677"/>
      <c r="G9" s="677"/>
      <c r="H9" s="677"/>
      <c r="I9" s="677"/>
      <c r="J9" s="677"/>
      <c r="K9" s="113">
        <f t="shared" si="0"/>
        <v>0</v>
      </c>
      <c r="L9" s="113">
        <f t="shared" ref="L9:L12" si="1">K9/12*9</f>
        <v>0</v>
      </c>
      <c r="M9" s="113"/>
      <c r="N9" s="677"/>
      <c r="O9" s="1228"/>
      <c r="P9" s="1228"/>
      <c r="Q9" s="1228"/>
      <c r="R9" s="1228"/>
      <c r="S9" s="1228"/>
      <c r="T9" s="1228"/>
      <c r="U9" s="1228"/>
      <c r="V9" s="1228"/>
      <c r="W9" s="1228"/>
      <c r="X9" s="1228"/>
      <c r="Y9" s="1228"/>
      <c r="Z9" s="1228"/>
      <c r="AA9" s="1228">
        <f t="shared" ref="AA9:AA28" si="2">O9+P9+Q9+R9+S9+T9+U9+V9+W9</f>
        <v>0</v>
      </c>
      <c r="AB9" s="1228">
        <f t="shared" ref="AB9:AB28" si="3">X9</f>
        <v>0</v>
      </c>
      <c r="AC9" s="677">
        <f t="shared" ref="AC9:AC28" si="4">AA9+AB9</f>
        <v>0</v>
      </c>
      <c r="AD9" s="677">
        <f t="shared" ref="AD9:AD28" si="5">N9-AC9</f>
        <v>0</v>
      </c>
      <c r="AE9" s="1230">
        <f t="shared" ref="AE9:AE28" si="6">K9-AC9</f>
        <v>0</v>
      </c>
    </row>
    <row r="10" spans="1:31" x14ac:dyDescent="0.25">
      <c r="A10" s="456" t="s">
        <v>662</v>
      </c>
      <c r="B10" s="735" t="s">
        <v>11</v>
      </c>
      <c r="C10" s="677">
        <v>240000</v>
      </c>
      <c r="D10" s="677"/>
      <c r="E10" s="677">
        <f>-4000</f>
        <v>-4000</v>
      </c>
      <c r="F10" s="677">
        <f>-4000</f>
        <v>-4000</v>
      </c>
      <c r="G10" s="677"/>
      <c r="H10" s="677"/>
      <c r="I10" s="677"/>
      <c r="J10" s="677"/>
      <c r="K10" s="113">
        <f t="shared" si="0"/>
        <v>232000</v>
      </c>
      <c r="L10" s="113">
        <f t="shared" si="1"/>
        <v>174000</v>
      </c>
      <c r="M10" s="113">
        <f t="shared" ref="M10:M28" si="7">K10/12</f>
        <v>19333.333333333332</v>
      </c>
      <c r="N10" s="677">
        <f t="shared" ref="N10:N18" si="8">L10+M10</f>
        <v>193333.33333333334</v>
      </c>
      <c r="O10" s="1228">
        <v>16000</v>
      </c>
      <c r="P10" s="1228">
        <v>16000</v>
      </c>
      <c r="Q10" s="1228">
        <v>16193.54</v>
      </c>
      <c r="R10" s="1228">
        <v>16000</v>
      </c>
      <c r="S10" s="1228">
        <v>16000</v>
      </c>
      <c r="T10" s="1228">
        <v>18000</v>
      </c>
      <c r="U10" s="1228">
        <v>17000</v>
      </c>
      <c r="V10" s="1228">
        <v>18000</v>
      </c>
      <c r="W10" s="1228">
        <v>18000</v>
      </c>
      <c r="X10" s="1228">
        <v>18000</v>
      </c>
      <c r="Y10" s="1228"/>
      <c r="Z10" s="1228"/>
      <c r="AA10" s="1228">
        <f t="shared" si="2"/>
        <v>151193.54</v>
      </c>
      <c r="AB10" s="1228">
        <f t="shared" si="3"/>
        <v>18000</v>
      </c>
      <c r="AC10" s="677">
        <f t="shared" si="4"/>
        <v>169193.54</v>
      </c>
      <c r="AD10" s="677">
        <f t="shared" si="5"/>
        <v>24139.793333333335</v>
      </c>
      <c r="AE10" s="1230">
        <f t="shared" si="6"/>
        <v>62806.459999999992</v>
      </c>
    </row>
    <row r="11" spans="1:31" x14ac:dyDescent="0.25">
      <c r="A11" s="456" t="s">
        <v>663</v>
      </c>
      <c r="B11" s="1345" t="s">
        <v>13</v>
      </c>
      <c r="C11" s="677">
        <v>72000</v>
      </c>
      <c r="D11" s="677"/>
      <c r="E11" s="677"/>
      <c r="F11" s="677"/>
      <c r="G11" s="677"/>
      <c r="H11" s="677"/>
      <c r="I11" s="677"/>
      <c r="J11" s="677"/>
      <c r="K11" s="113">
        <f t="shared" si="0"/>
        <v>72000</v>
      </c>
      <c r="L11" s="113">
        <f t="shared" si="1"/>
        <v>54000</v>
      </c>
      <c r="M11" s="113">
        <f t="shared" si="7"/>
        <v>6000</v>
      </c>
      <c r="N11" s="677">
        <f t="shared" si="8"/>
        <v>60000</v>
      </c>
      <c r="O11" s="1228">
        <v>6000</v>
      </c>
      <c r="P11" s="1228">
        <v>6000</v>
      </c>
      <c r="Q11" s="1228">
        <v>6000</v>
      </c>
      <c r="R11" s="1228">
        <v>6000</v>
      </c>
      <c r="S11" s="1228">
        <v>6000</v>
      </c>
      <c r="T11" s="1228">
        <v>6000</v>
      </c>
      <c r="U11" s="1228">
        <v>6000</v>
      </c>
      <c r="V11" s="1228">
        <v>6000</v>
      </c>
      <c r="W11" s="1228">
        <v>6000</v>
      </c>
      <c r="X11" s="1228">
        <v>6000</v>
      </c>
      <c r="Y11" s="1228"/>
      <c r="Z11" s="1228"/>
      <c r="AA11" s="1228">
        <f t="shared" si="2"/>
        <v>54000</v>
      </c>
      <c r="AB11" s="1228">
        <f t="shared" si="3"/>
        <v>6000</v>
      </c>
      <c r="AC11" s="677">
        <f t="shared" si="4"/>
        <v>60000</v>
      </c>
      <c r="AD11" s="677">
        <f t="shared" si="5"/>
        <v>0</v>
      </c>
      <c r="AE11" s="1230">
        <f t="shared" si="6"/>
        <v>12000</v>
      </c>
    </row>
    <row r="12" spans="1:31" x14ac:dyDescent="0.25">
      <c r="A12" s="456" t="s">
        <v>664</v>
      </c>
      <c r="B12" s="853" t="s">
        <v>15</v>
      </c>
      <c r="C12" s="677">
        <v>72000</v>
      </c>
      <c r="D12" s="677"/>
      <c r="E12" s="677"/>
      <c r="F12" s="677"/>
      <c r="G12" s="677"/>
      <c r="H12" s="677"/>
      <c r="I12" s="677"/>
      <c r="J12" s="677"/>
      <c r="K12" s="113">
        <f t="shared" si="0"/>
        <v>72000</v>
      </c>
      <c r="L12" s="113">
        <f t="shared" si="1"/>
        <v>54000</v>
      </c>
      <c r="M12" s="113">
        <f t="shared" si="7"/>
        <v>6000</v>
      </c>
      <c r="N12" s="677">
        <f t="shared" si="8"/>
        <v>60000</v>
      </c>
      <c r="O12" s="1228">
        <v>6000</v>
      </c>
      <c r="P12" s="1228">
        <v>6000</v>
      </c>
      <c r="Q12" s="1228">
        <v>6000</v>
      </c>
      <c r="R12" s="1228">
        <v>6000</v>
      </c>
      <c r="S12" s="1228">
        <v>6000</v>
      </c>
      <c r="T12" s="1228">
        <v>6000</v>
      </c>
      <c r="U12" s="1228">
        <v>6000</v>
      </c>
      <c r="V12" s="1228">
        <v>6000</v>
      </c>
      <c r="W12" s="1228">
        <v>6000</v>
      </c>
      <c r="X12" s="1228">
        <v>6000</v>
      </c>
      <c r="Y12" s="1228"/>
      <c r="Z12" s="1228"/>
      <c r="AA12" s="1228">
        <f t="shared" si="2"/>
        <v>54000</v>
      </c>
      <c r="AB12" s="1228">
        <f t="shared" si="3"/>
        <v>6000</v>
      </c>
      <c r="AC12" s="677">
        <f t="shared" si="4"/>
        <v>60000</v>
      </c>
      <c r="AD12" s="677">
        <f t="shared" si="5"/>
        <v>0</v>
      </c>
      <c r="AE12" s="1230">
        <f t="shared" si="6"/>
        <v>12000</v>
      </c>
    </row>
    <row r="13" spans="1:31" x14ac:dyDescent="0.25">
      <c r="A13" s="456" t="s">
        <v>665</v>
      </c>
      <c r="B13" s="735" t="s">
        <v>17</v>
      </c>
      <c r="C13" s="677">
        <v>60000</v>
      </c>
      <c r="D13" s="677"/>
      <c r="E13" s="677"/>
      <c r="F13" s="677"/>
      <c r="G13" s="677"/>
      <c r="H13" s="677"/>
      <c r="I13" s="677"/>
      <c r="J13" s="677"/>
      <c r="K13" s="113">
        <f t="shared" si="0"/>
        <v>60000</v>
      </c>
      <c r="L13" s="113">
        <f>K13/12*11</f>
        <v>55000</v>
      </c>
      <c r="M13" s="113">
        <f t="shared" si="7"/>
        <v>5000</v>
      </c>
      <c r="N13" s="677">
        <f t="shared" si="8"/>
        <v>60000</v>
      </c>
      <c r="O13" s="1228">
        <v>32000</v>
      </c>
      <c r="P13" s="1228"/>
      <c r="Q13" s="1228"/>
      <c r="R13" s="1228"/>
      <c r="S13" s="1228"/>
      <c r="T13" s="1228">
        <v>6000</v>
      </c>
      <c r="U13" s="1228"/>
      <c r="V13" s="1228"/>
      <c r="W13" s="1228"/>
      <c r="X13" s="1228">
        <v>6600</v>
      </c>
      <c r="Y13" s="1228"/>
      <c r="Z13" s="1228"/>
      <c r="AA13" s="1228">
        <f t="shared" si="2"/>
        <v>38000</v>
      </c>
      <c r="AB13" s="1228">
        <f t="shared" si="3"/>
        <v>6600</v>
      </c>
      <c r="AC13" s="677">
        <f t="shared" si="4"/>
        <v>44600</v>
      </c>
      <c r="AD13" s="677">
        <f t="shared" si="5"/>
        <v>15400</v>
      </c>
      <c r="AE13" s="1230">
        <f t="shared" si="6"/>
        <v>15400</v>
      </c>
    </row>
    <row r="14" spans="1:31" x14ac:dyDescent="0.25">
      <c r="A14" s="456" t="s">
        <v>666</v>
      </c>
      <c r="B14" s="735" t="s">
        <v>21</v>
      </c>
      <c r="C14" s="677"/>
      <c r="D14" s="677"/>
      <c r="E14" s="677"/>
      <c r="F14" s="677"/>
      <c r="G14" s="677"/>
      <c r="H14" s="677"/>
      <c r="I14" s="677"/>
      <c r="J14" s="677"/>
      <c r="K14" s="113">
        <f t="shared" si="0"/>
        <v>0</v>
      </c>
      <c r="L14" s="113">
        <f t="shared" ref="L14" si="9">K14/12*8</f>
        <v>0</v>
      </c>
      <c r="M14" s="113">
        <f t="shared" si="7"/>
        <v>0</v>
      </c>
      <c r="N14" s="677">
        <f t="shared" si="8"/>
        <v>0</v>
      </c>
      <c r="O14" s="1228"/>
      <c r="P14" s="1228"/>
      <c r="Q14" s="1228"/>
      <c r="R14" s="1228"/>
      <c r="S14" s="1228"/>
      <c r="T14" s="1228"/>
      <c r="U14" s="1228"/>
      <c r="V14" s="1228"/>
      <c r="W14" s="1228"/>
      <c r="X14" s="1228"/>
      <c r="Y14" s="1228"/>
      <c r="Z14" s="1228"/>
      <c r="AA14" s="1228">
        <f t="shared" si="2"/>
        <v>0</v>
      </c>
      <c r="AB14" s="1228">
        <f t="shared" si="3"/>
        <v>0</v>
      </c>
      <c r="AC14" s="677">
        <f t="shared" si="4"/>
        <v>0</v>
      </c>
      <c r="AD14" s="677">
        <f t="shared" si="5"/>
        <v>0</v>
      </c>
      <c r="AE14" s="1230">
        <f t="shared" si="6"/>
        <v>0</v>
      </c>
    </row>
    <row r="15" spans="1:31" x14ac:dyDescent="0.25">
      <c r="A15" s="456" t="s">
        <v>667</v>
      </c>
      <c r="B15" s="1345" t="s">
        <v>23</v>
      </c>
      <c r="C15" s="677">
        <v>233968</v>
      </c>
      <c r="D15" s="677"/>
      <c r="E15" s="677"/>
      <c r="F15" s="677"/>
      <c r="G15" s="677"/>
      <c r="H15" s="677"/>
      <c r="I15" s="677"/>
      <c r="J15" s="677"/>
      <c r="K15" s="113">
        <f t="shared" si="0"/>
        <v>233968</v>
      </c>
      <c r="L15" s="113">
        <f t="shared" ref="L15:L28" si="10">K15/12*9</f>
        <v>175476</v>
      </c>
      <c r="M15" s="113">
        <f t="shared" si="7"/>
        <v>19497.333333333332</v>
      </c>
      <c r="N15" s="677">
        <f t="shared" si="8"/>
        <v>194973.33333333334</v>
      </c>
      <c r="O15" s="1228"/>
      <c r="P15" s="1228"/>
      <c r="Q15" s="1228"/>
      <c r="R15" s="1228"/>
      <c r="S15" s="1228"/>
      <c r="T15" s="1228"/>
      <c r="U15" s="1228"/>
      <c r="V15" s="1228"/>
      <c r="W15" s="1228"/>
      <c r="X15" s="1228"/>
      <c r="Y15" s="1228"/>
      <c r="Z15" s="1228"/>
      <c r="AA15" s="1228">
        <f t="shared" si="2"/>
        <v>0</v>
      </c>
      <c r="AB15" s="1228">
        <f t="shared" si="3"/>
        <v>0</v>
      </c>
      <c r="AC15" s="677">
        <f t="shared" si="4"/>
        <v>0</v>
      </c>
      <c r="AD15" s="677">
        <f t="shared" si="5"/>
        <v>194973.33333333334</v>
      </c>
      <c r="AE15" s="1230">
        <f t="shared" si="6"/>
        <v>233968</v>
      </c>
    </row>
    <row r="16" spans="1:31" x14ac:dyDescent="0.25">
      <c r="A16" s="456" t="s">
        <v>668</v>
      </c>
      <c r="B16" s="1345" t="s">
        <v>26</v>
      </c>
      <c r="C16" s="677">
        <v>50000</v>
      </c>
      <c r="D16" s="677"/>
      <c r="E16" s="677"/>
      <c r="F16" s="677"/>
      <c r="G16" s="677"/>
      <c r="H16" s="677"/>
      <c r="I16" s="677"/>
      <c r="J16" s="677"/>
      <c r="K16" s="113">
        <f t="shared" si="0"/>
        <v>50000</v>
      </c>
      <c r="L16" s="113">
        <f t="shared" si="10"/>
        <v>37500</v>
      </c>
      <c r="M16" s="113">
        <f t="shared" si="7"/>
        <v>4166.666666666667</v>
      </c>
      <c r="N16" s="677">
        <f t="shared" si="8"/>
        <v>41666.666666666664</v>
      </c>
      <c r="O16" s="1228"/>
      <c r="P16" s="1228"/>
      <c r="Q16" s="1228"/>
      <c r="R16" s="1228"/>
      <c r="S16" s="1228"/>
      <c r="T16" s="1228"/>
      <c r="U16" s="1228"/>
      <c r="V16" s="1228"/>
      <c r="W16" s="1228"/>
      <c r="X16" s="1228"/>
      <c r="Y16" s="1228"/>
      <c r="Z16" s="1228"/>
      <c r="AA16" s="1228">
        <f t="shared" si="2"/>
        <v>0</v>
      </c>
      <c r="AB16" s="1228">
        <f t="shared" si="3"/>
        <v>0</v>
      </c>
      <c r="AC16" s="677">
        <f t="shared" si="4"/>
        <v>0</v>
      </c>
      <c r="AD16" s="677">
        <f t="shared" si="5"/>
        <v>41666.666666666664</v>
      </c>
      <c r="AE16" s="1230">
        <f t="shared" si="6"/>
        <v>50000</v>
      </c>
    </row>
    <row r="17" spans="1:31" x14ac:dyDescent="0.25">
      <c r="A17" s="1346" t="s">
        <v>669</v>
      </c>
      <c r="B17" s="1345" t="s">
        <v>27</v>
      </c>
      <c r="C17" s="677"/>
      <c r="D17" s="677"/>
      <c r="E17" s="677"/>
      <c r="F17" s="677"/>
      <c r="G17" s="677"/>
      <c r="H17" s="677"/>
      <c r="I17" s="677"/>
      <c r="J17" s="677"/>
      <c r="K17" s="113">
        <f t="shared" si="0"/>
        <v>0</v>
      </c>
      <c r="L17" s="113">
        <f t="shared" si="10"/>
        <v>0</v>
      </c>
      <c r="M17" s="113">
        <f t="shared" si="7"/>
        <v>0</v>
      </c>
      <c r="N17" s="677">
        <f t="shared" si="8"/>
        <v>0</v>
      </c>
      <c r="O17" s="1228"/>
      <c r="P17" s="1228"/>
      <c r="Q17" s="1228"/>
      <c r="R17" s="1228"/>
      <c r="S17" s="1228"/>
      <c r="T17" s="1228"/>
      <c r="U17" s="1228"/>
      <c r="V17" s="1228"/>
      <c r="W17" s="1228"/>
      <c r="X17" s="1228"/>
      <c r="Y17" s="1228"/>
      <c r="Z17" s="1228"/>
      <c r="AA17" s="1228">
        <f t="shared" si="2"/>
        <v>0</v>
      </c>
      <c r="AB17" s="1228">
        <f t="shared" si="3"/>
        <v>0</v>
      </c>
      <c r="AC17" s="677">
        <f t="shared" si="4"/>
        <v>0</v>
      </c>
      <c r="AD17" s="677">
        <f t="shared" si="5"/>
        <v>0</v>
      </c>
      <c r="AE17" s="1230">
        <f t="shared" si="6"/>
        <v>0</v>
      </c>
    </row>
    <row r="18" spans="1:31" x14ac:dyDescent="0.25">
      <c r="A18" s="537" t="s">
        <v>670</v>
      </c>
      <c r="B18" s="1345"/>
      <c r="C18" s="677">
        <v>233826</v>
      </c>
      <c r="D18" s="677"/>
      <c r="E18" s="677"/>
      <c r="F18" s="677"/>
      <c r="G18" s="677"/>
      <c r="H18" s="677"/>
      <c r="I18" s="677"/>
      <c r="J18" s="677"/>
      <c r="K18" s="113">
        <f t="shared" si="0"/>
        <v>233826</v>
      </c>
      <c r="L18" s="113">
        <f t="shared" si="10"/>
        <v>175369.5</v>
      </c>
      <c r="M18" s="113">
        <f t="shared" si="7"/>
        <v>19485.5</v>
      </c>
      <c r="N18" s="677">
        <f t="shared" si="8"/>
        <v>194855</v>
      </c>
      <c r="O18" s="1228"/>
      <c r="P18" s="1228"/>
      <c r="Q18" s="1228"/>
      <c r="R18" s="1228"/>
      <c r="S18" s="1347">
        <v>199898</v>
      </c>
      <c r="T18" s="1228"/>
      <c r="U18" s="1228"/>
      <c r="V18" s="1228"/>
      <c r="W18" s="1228"/>
      <c r="X18" s="1228"/>
      <c r="Y18" s="1228"/>
      <c r="Z18" s="1228"/>
      <c r="AA18" s="1228">
        <f t="shared" si="2"/>
        <v>199898</v>
      </c>
      <c r="AB18" s="1228">
        <f t="shared" si="3"/>
        <v>0</v>
      </c>
      <c r="AC18" s="677">
        <f t="shared" si="4"/>
        <v>199898</v>
      </c>
      <c r="AD18" s="677">
        <f t="shared" si="5"/>
        <v>-5043</v>
      </c>
      <c r="AE18" s="1230">
        <f t="shared" si="6"/>
        <v>33928</v>
      </c>
    </row>
    <row r="19" spans="1:31" x14ac:dyDescent="0.25">
      <c r="A19" s="537" t="s">
        <v>671</v>
      </c>
      <c r="B19" s="735"/>
      <c r="C19" s="677">
        <v>50000</v>
      </c>
      <c r="D19" s="677"/>
      <c r="E19" s="677"/>
      <c r="F19" s="677"/>
      <c r="G19" s="677"/>
      <c r="H19" s="677"/>
      <c r="I19" s="677"/>
      <c r="J19" s="677"/>
      <c r="K19" s="113">
        <f t="shared" si="0"/>
        <v>50000</v>
      </c>
      <c r="L19" s="113">
        <f t="shared" si="10"/>
        <v>37500</v>
      </c>
      <c r="M19" s="113">
        <f t="shared" si="7"/>
        <v>4166.666666666667</v>
      </c>
      <c r="N19" s="677">
        <f t="shared" ref="N19:N27" si="11">L19+M19</f>
        <v>41666.666666666664</v>
      </c>
      <c r="O19" s="1228"/>
      <c r="P19" s="1228"/>
      <c r="Q19" s="1228"/>
      <c r="R19" s="1228"/>
      <c r="S19" s="1228"/>
      <c r="T19" s="1228"/>
      <c r="U19" s="1228"/>
      <c r="V19" s="1228"/>
      <c r="W19" s="1228"/>
      <c r="X19" s="1228"/>
      <c r="Y19" s="1228"/>
      <c r="Z19" s="1228"/>
      <c r="AA19" s="1228">
        <f t="shared" si="2"/>
        <v>0</v>
      </c>
      <c r="AB19" s="1228">
        <f t="shared" si="3"/>
        <v>0</v>
      </c>
      <c r="AC19" s="677">
        <f t="shared" si="4"/>
        <v>0</v>
      </c>
      <c r="AD19" s="677">
        <f t="shared" si="5"/>
        <v>41666.666666666664</v>
      </c>
      <c r="AE19" s="1230">
        <f t="shared" si="6"/>
        <v>50000</v>
      </c>
    </row>
    <row r="20" spans="1:31" x14ac:dyDescent="0.25">
      <c r="A20" s="537" t="s">
        <v>702</v>
      </c>
      <c r="B20" s="1345"/>
      <c r="C20" s="677"/>
      <c r="D20" s="677"/>
      <c r="E20" s="677"/>
      <c r="F20" s="677"/>
      <c r="G20" s="677"/>
      <c r="H20" s="677"/>
      <c r="I20" s="677"/>
      <c r="J20" s="677"/>
      <c r="K20" s="113">
        <f t="shared" si="0"/>
        <v>0</v>
      </c>
      <c r="L20" s="113">
        <f t="shared" si="10"/>
        <v>0</v>
      </c>
      <c r="M20" s="113">
        <f t="shared" si="7"/>
        <v>0</v>
      </c>
      <c r="N20" s="677">
        <f t="shared" si="11"/>
        <v>0</v>
      </c>
      <c r="O20" s="1228"/>
      <c r="P20" s="1228"/>
      <c r="Q20" s="1228"/>
      <c r="R20" s="1228"/>
      <c r="S20" s="1228"/>
      <c r="T20" s="1228"/>
      <c r="U20" s="1228"/>
      <c r="V20" s="1228"/>
      <c r="W20" s="1228"/>
      <c r="X20" s="1228"/>
      <c r="Y20" s="1228"/>
      <c r="Z20" s="1228"/>
      <c r="AA20" s="1228">
        <f t="shared" si="2"/>
        <v>0</v>
      </c>
      <c r="AB20" s="1228">
        <f t="shared" si="3"/>
        <v>0</v>
      </c>
      <c r="AC20" s="677">
        <f t="shared" si="4"/>
        <v>0</v>
      </c>
      <c r="AD20" s="677">
        <f t="shared" si="5"/>
        <v>0</v>
      </c>
      <c r="AE20" s="1230">
        <f t="shared" si="6"/>
        <v>0</v>
      </c>
    </row>
    <row r="21" spans="1:31" x14ac:dyDescent="0.25">
      <c r="A21" s="537" t="s">
        <v>673</v>
      </c>
      <c r="B21" s="1345"/>
      <c r="C21" s="677"/>
      <c r="D21" s="677"/>
      <c r="E21" s="677"/>
      <c r="F21" s="677"/>
      <c r="G21" s="677"/>
      <c r="H21" s="677"/>
      <c r="I21" s="677"/>
      <c r="J21" s="677"/>
      <c r="K21" s="113">
        <f t="shared" si="0"/>
        <v>0</v>
      </c>
      <c r="L21" s="113">
        <f t="shared" si="10"/>
        <v>0</v>
      </c>
      <c r="M21" s="113">
        <f t="shared" si="7"/>
        <v>0</v>
      </c>
      <c r="N21" s="677">
        <f t="shared" si="11"/>
        <v>0</v>
      </c>
      <c r="O21" s="1228"/>
      <c r="P21" s="1228"/>
      <c r="Q21" s="1228"/>
      <c r="R21" s="1228"/>
      <c r="S21" s="1228"/>
      <c r="T21" s="1228"/>
      <c r="U21" s="1228"/>
      <c r="V21" s="1228"/>
      <c r="W21" s="1228"/>
      <c r="X21" s="1228"/>
      <c r="Y21" s="1228"/>
      <c r="Z21" s="1228"/>
      <c r="AA21" s="1228">
        <f t="shared" si="2"/>
        <v>0</v>
      </c>
      <c r="AB21" s="1228">
        <f t="shared" si="3"/>
        <v>0</v>
      </c>
      <c r="AC21" s="677">
        <f t="shared" si="4"/>
        <v>0</v>
      </c>
      <c r="AD21" s="677">
        <f t="shared" si="5"/>
        <v>0</v>
      </c>
      <c r="AE21" s="1230">
        <f t="shared" si="6"/>
        <v>0</v>
      </c>
    </row>
    <row r="22" spans="1:31" x14ac:dyDescent="0.25">
      <c r="A22" s="537" t="s">
        <v>674</v>
      </c>
      <c r="B22" s="1345"/>
      <c r="C22" s="677"/>
      <c r="D22" s="677"/>
      <c r="E22" s="677"/>
      <c r="F22" s="677"/>
      <c r="G22" s="677"/>
      <c r="H22" s="677"/>
      <c r="I22" s="677"/>
      <c r="J22" s="677"/>
      <c r="K22" s="113">
        <f t="shared" si="0"/>
        <v>0</v>
      </c>
      <c r="L22" s="113">
        <f t="shared" si="10"/>
        <v>0</v>
      </c>
      <c r="M22" s="113">
        <f t="shared" si="7"/>
        <v>0</v>
      </c>
      <c r="N22" s="677">
        <f t="shared" si="11"/>
        <v>0</v>
      </c>
      <c r="O22" s="1228"/>
      <c r="P22" s="1228"/>
      <c r="Q22" s="1228"/>
      <c r="R22" s="1228"/>
      <c r="S22" s="1228"/>
      <c r="T22" s="1228"/>
      <c r="U22" s="1228"/>
      <c r="V22" s="1228"/>
      <c r="W22" s="1228"/>
      <c r="X22" s="1228"/>
      <c r="Y22" s="1228"/>
      <c r="Z22" s="1228"/>
      <c r="AA22" s="1228">
        <f t="shared" si="2"/>
        <v>0</v>
      </c>
      <c r="AB22" s="1228">
        <f t="shared" si="3"/>
        <v>0</v>
      </c>
      <c r="AC22" s="677">
        <f t="shared" si="4"/>
        <v>0</v>
      </c>
      <c r="AD22" s="677">
        <f t="shared" si="5"/>
        <v>0</v>
      </c>
      <c r="AE22" s="1230">
        <f t="shared" si="6"/>
        <v>0</v>
      </c>
    </row>
    <row r="23" spans="1:31" x14ac:dyDescent="0.25">
      <c r="A23" s="1346" t="s">
        <v>370</v>
      </c>
      <c r="B23" s="1345"/>
      <c r="C23" s="170"/>
      <c r="D23" s="170"/>
      <c r="E23" s="170"/>
      <c r="F23" s="170"/>
      <c r="G23" s="170"/>
      <c r="H23" s="170"/>
      <c r="I23" s="170"/>
      <c r="J23" s="170"/>
      <c r="K23" s="113">
        <f t="shared" si="0"/>
        <v>0</v>
      </c>
      <c r="L23" s="113">
        <f t="shared" si="10"/>
        <v>0</v>
      </c>
      <c r="M23" s="113">
        <f t="shared" si="7"/>
        <v>0</v>
      </c>
      <c r="N23" s="677">
        <f t="shared" si="11"/>
        <v>0</v>
      </c>
      <c r="O23" s="1228"/>
      <c r="P23" s="1228"/>
      <c r="Q23" s="1228"/>
      <c r="R23" s="1228"/>
      <c r="S23" s="1228"/>
      <c r="T23" s="1228"/>
      <c r="U23" s="1228"/>
      <c r="V23" s="1228"/>
      <c r="W23" s="1228"/>
      <c r="X23" s="1228"/>
      <c r="Y23" s="1228"/>
      <c r="Z23" s="1228"/>
      <c r="AA23" s="1228">
        <f t="shared" si="2"/>
        <v>0</v>
      </c>
      <c r="AB23" s="1228">
        <f t="shared" si="3"/>
        <v>0</v>
      </c>
      <c r="AC23" s="677">
        <f t="shared" si="4"/>
        <v>0</v>
      </c>
      <c r="AD23" s="677">
        <f t="shared" si="5"/>
        <v>0</v>
      </c>
      <c r="AE23" s="1230">
        <f t="shared" si="6"/>
        <v>0</v>
      </c>
    </row>
    <row r="24" spans="1:31" x14ac:dyDescent="0.25">
      <c r="A24" s="456" t="s">
        <v>675</v>
      </c>
      <c r="B24" s="1345" t="s">
        <v>29</v>
      </c>
      <c r="C24" s="677">
        <v>336585.84</v>
      </c>
      <c r="D24" s="677"/>
      <c r="E24" s="677">
        <f>-2035.68</f>
        <v>-2035.68</v>
      </c>
      <c r="F24" s="677">
        <f>-4071.36</f>
        <v>-4071.36</v>
      </c>
      <c r="G24" s="677"/>
      <c r="H24" s="677"/>
      <c r="I24" s="677">
        <f>-8142.72</f>
        <v>-8142.72</v>
      </c>
      <c r="J24" s="677"/>
      <c r="K24" s="113">
        <f t="shared" si="0"/>
        <v>322336.08000000007</v>
      </c>
      <c r="L24" s="113">
        <f t="shared" si="10"/>
        <v>241752.06000000006</v>
      </c>
      <c r="M24" s="113">
        <f t="shared" si="7"/>
        <v>26861.340000000007</v>
      </c>
      <c r="N24" s="677">
        <f t="shared" si="11"/>
        <v>268613.40000000008</v>
      </c>
      <c r="O24" s="794">
        <v>23023.439999999999</v>
      </c>
      <c r="P24" s="794">
        <v>23023.439999999999</v>
      </c>
      <c r="Q24" s="1228">
        <v>23296.240000000002</v>
      </c>
      <c r="R24" s="1228">
        <v>26621.040000000001</v>
      </c>
      <c r="S24" s="1347">
        <v>23987.759999999998</v>
      </c>
      <c r="T24" s="1347">
        <v>26023.439999999999</v>
      </c>
      <c r="U24" s="1347">
        <v>26023.439999999999</v>
      </c>
      <c r="V24" s="1347">
        <v>26023.439999999999</v>
      </c>
      <c r="W24" s="1347">
        <v>26023.439999999999</v>
      </c>
      <c r="X24" s="1347">
        <v>26036.65</v>
      </c>
      <c r="Y24" s="1228"/>
      <c r="Z24" s="1228"/>
      <c r="AA24" s="1228">
        <f t="shared" si="2"/>
        <v>224045.68</v>
      </c>
      <c r="AB24" s="1228">
        <f t="shared" si="3"/>
        <v>26036.65</v>
      </c>
      <c r="AC24" s="677">
        <f t="shared" si="4"/>
        <v>250082.33</v>
      </c>
      <c r="AD24" s="677">
        <f t="shared" si="5"/>
        <v>18531.070000000094</v>
      </c>
      <c r="AE24" s="1230">
        <f t="shared" si="6"/>
        <v>72253.750000000087</v>
      </c>
    </row>
    <row r="25" spans="1:31" x14ac:dyDescent="0.25">
      <c r="A25" s="456" t="s">
        <v>676</v>
      </c>
      <c r="B25" s="1345" t="s">
        <v>31</v>
      </c>
      <c r="C25" s="677">
        <v>56097.64</v>
      </c>
      <c r="D25" s="677"/>
      <c r="E25" s="677">
        <f>-339.28</f>
        <v>-339.28</v>
      </c>
      <c r="F25" s="677">
        <f>-678.56</f>
        <v>-678.56</v>
      </c>
      <c r="G25" s="677"/>
      <c r="H25" s="677"/>
      <c r="I25" s="677"/>
      <c r="J25" s="677"/>
      <c r="K25" s="113">
        <f t="shared" si="0"/>
        <v>55079.8</v>
      </c>
      <c r="L25" s="113">
        <f t="shared" si="10"/>
        <v>41309.850000000006</v>
      </c>
      <c r="M25" s="113">
        <f t="shared" si="7"/>
        <v>4589.9833333333336</v>
      </c>
      <c r="N25" s="677">
        <f t="shared" si="11"/>
        <v>45899.833333333343</v>
      </c>
      <c r="O25" s="794">
        <v>3837.24</v>
      </c>
      <c r="P25" s="794">
        <v>3837.24</v>
      </c>
      <c r="Q25" s="1228">
        <v>3882.71</v>
      </c>
      <c r="R25" s="1228">
        <v>4436.84</v>
      </c>
      <c r="S25" s="1347">
        <v>800</v>
      </c>
      <c r="T25" s="1347">
        <v>4337.24</v>
      </c>
      <c r="U25" s="1347">
        <v>4337.24</v>
      </c>
      <c r="V25" s="1347">
        <v>4337.24</v>
      </c>
      <c r="W25" s="1347">
        <v>4337.24</v>
      </c>
      <c r="X25" s="1347">
        <v>4339.4399999999996</v>
      </c>
      <c r="Y25" s="1228"/>
      <c r="Z25" s="1228"/>
      <c r="AA25" s="1228">
        <f t="shared" si="2"/>
        <v>34142.989999999991</v>
      </c>
      <c r="AB25" s="1228">
        <f t="shared" si="3"/>
        <v>4339.4399999999996</v>
      </c>
      <c r="AC25" s="677">
        <f t="shared" si="4"/>
        <v>38482.429999999993</v>
      </c>
      <c r="AD25" s="677">
        <f t="shared" si="5"/>
        <v>7417.40333333335</v>
      </c>
      <c r="AE25" s="1230">
        <f t="shared" si="6"/>
        <v>16597.37000000001</v>
      </c>
    </row>
    <row r="26" spans="1:31" x14ac:dyDescent="0.25">
      <c r="A26" s="456" t="s">
        <v>677</v>
      </c>
      <c r="B26" s="1345" t="s">
        <v>33</v>
      </c>
      <c r="C26" s="677">
        <v>48974.98</v>
      </c>
      <c r="D26" s="677"/>
      <c r="E26" s="677">
        <f>-296.87</f>
        <v>-296.87</v>
      </c>
      <c r="F26" s="677">
        <f>-593.74</f>
        <v>-593.74</v>
      </c>
      <c r="G26" s="677"/>
      <c r="H26" s="677"/>
      <c r="I26" s="677"/>
      <c r="J26" s="677"/>
      <c r="K26" s="113">
        <f t="shared" si="0"/>
        <v>48084.37</v>
      </c>
      <c r="L26" s="113">
        <f t="shared" si="10"/>
        <v>36063.277500000004</v>
      </c>
      <c r="M26" s="113">
        <f t="shared" si="7"/>
        <v>4007.0308333333337</v>
      </c>
      <c r="N26" s="677">
        <f t="shared" si="11"/>
        <v>40070.308333333334</v>
      </c>
      <c r="O26" s="794">
        <v>2740.41</v>
      </c>
      <c r="P26" s="794">
        <v>2740.41</v>
      </c>
      <c r="Q26" s="1228">
        <v>2751.02</v>
      </c>
      <c r="R26" s="1228">
        <v>2840.58</v>
      </c>
      <c r="S26" s="1347">
        <v>2840.58</v>
      </c>
      <c r="T26" s="1347">
        <v>3095.04</v>
      </c>
      <c r="U26" s="1347">
        <v>3095</v>
      </c>
      <c r="V26" s="1347">
        <v>3095.04</v>
      </c>
      <c r="W26" s="1347">
        <v>3095.04</v>
      </c>
      <c r="X26" s="1347">
        <v>3097.17</v>
      </c>
      <c r="Y26" s="1228"/>
      <c r="Z26" s="1228"/>
      <c r="AA26" s="1228">
        <f t="shared" si="2"/>
        <v>26293.120000000003</v>
      </c>
      <c r="AB26" s="1228">
        <f t="shared" si="3"/>
        <v>3097.17</v>
      </c>
      <c r="AC26" s="677">
        <f t="shared" si="4"/>
        <v>29390.29</v>
      </c>
      <c r="AD26" s="677">
        <f t="shared" si="5"/>
        <v>10680.018333333333</v>
      </c>
      <c r="AE26" s="1230">
        <f t="shared" si="6"/>
        <v>18694.080000000002</v>
      </c>
    </row>
    <row r="27" spans="1:31" x14ac:dyDescent="0.25">
      <c r="A27" s="456" t="s">
        <v>678</v>
      </c>
      <c r="B27" s="1345" t="s">
        <v>35</v>
      </c>
      <c r="C27" s="677">
        <v>12000</v>
      </c>
      <c r="D27" s="677"/>
      <c r="E27" s="677"/>
      <c r="F27" s="677"/>
      <c r="G27" s="677"/>
      <c r="H27" s="677"/>
      <c r="I27" s="677"/>
      <c r="J27" s="677"/>
      <c r="K27" s="113">
        <f t="shared" si="0"/>
        <v>12000</v>
      </c>
      <c r="L27" s="113">
        <f t="shared" si="10"/>
        <v>9000</v>
      </c>
      <c r="M27" s="113">
        <f t="shared" si="7"/>
        <v>1000</v>
      </c>
      <c r="N27" s="677">
        <f t="shared" si="11"/>
        <v>10000</v>
      </c>
      <c r="O27" s="794">
        <v>800</v>
      </c>
      <c r="P27" s="794">
        <v>800</v>
      </c>
      <c r="Q27" s="1228">
        <v>800</v>
      </c>
      <c r="R27" s="1228">
        <v>800</v>
      </c>
      <c r="S27" s="1347">
        <v>3997.96</v>
      </c>
      <c r="T27" s="1347">
        <v>900</v>
      </c>
      <c r="U27" s="1347">
        <v>900</v>
      </c>
      <c r="V27" s="1347">
        <v>900</v>
      </c>
      <c r="W27" s="1347">
        <v>900</v>
      </c>
      <c r="X27" s="1347">
        <v>900</v>
      </c>
      <c r="Y27" s="1228"/>
      <c r="Z27" s="1228"/>
      <c r="AA27" s="1228">
        <f t="shared" si="2"/>
        <v>10797.96</v>
      </c>
      <c r="AB27" s="1228">
        <f t="shared" si="3"/>
        <v>900</v>
      </c>
      <c r="AC27" s="677">
        <f t="shared" si="4"/>
        <v>11697.96</v>
      </c>
      <c r="AD27" s="677">
        <f t="shared" si="5"/>
        <v>-1697.9599999999991</v>
      </c>
      <c r="AE27" s="1230">
        <f t="shared" si="6"/>
        <v>302.04000000000087</v>
      </c>
    </row>
    <row r="28" spans="1:31" x14ac:dyDescent="0.25">
      <c r="A28" s="1348"/>
      <c r="B28" s="1345"/>
      <c r="C28" s="113"/>
      <c r="D28" s="113"/>
      <c r="E28" s="113"/>
      <c r="F28" s="113"/>
      <c r="G28" s="113"/>
      <c r="H28" s="113"/>
      <c r="I28" s="113"/>
      <c r="J28" s="113"/>
      <c r="K28" s="113">
        <f t="shared" si="0"/>
        <v>0</v>
      </c>
      <c r="L28" s="113">
        <f t="shared" si="10"/>
        <v>0</v>
      </c>
      <c r="M28" s="113">
        <f t="shared" si="7"/>
        <v>0</v>
      </c>
      <c r="N28" s="677">
        <f t="shared" ref="N28" si="12">L28+M28</f>
        <v>0</v>
      </c>
      <c r="O28" s="1228"/>
      <c r="P28" s="1228"/>
      <c r="Q28" s="1228"/>
      <c r="R28" s="1228"/>
      <c r="S28" s="1228"/>
      <c r="T28" s="1228"/>
      <c r="U28" s="1228"/>
      <c r="V28" s="1228"/>
      <c r="W28" s="1228"/>
      <c r="X28" s="1228"/>
      <c r="Y28" s="1228"/>
      <c r="Z28" s="1228"/>
      <c r="AA28" s="1228">
        <f t="shared" si="2"/>
        <v>0</v>
      </c>
      <c r="AB28" s="1228">
        <f t="shared" si="3"/>
        <v>0</v>
      </c>
      <c r="AC28" s="677">
        <f t="shared" si="4"/>
        <v>0</v>
      </c>
      <c r="AD28" s="677">
        <f t="shared" si="5"/>
        <v>0</v>
      </c>
      <c r="AE28" s="1230">
        <f t="shared" si="6"/>
        <v>0</v>
      </c>
    </row>
    <row r="29" spans="1:31" x14ac:dyDescent="0.25">
      <c r="A29" s="630" t="s">
        <v>40</v>
      </c>
      <c r="B29" s="614"/>
      <c r="C29" s="614">
        <f>SUM(C8:C28)</f>
        <v>4270334.46</v>
      </c>
      <c r="D29" s="614">
        <f>SUM(D8:D28)</f>
        <v>0</v>
      </c>
      <c r="E29" s="614">
        <f>SUM(E8:E28)</f>
        <v>-23635.829999999998</v>
      </c>
      <c r="F29" s="614">
        <f>SUM(F8:F28)</f>
        <v>-43271.659999999996</v>
      </c>
      <c r="G29" s="614">
        <f t="shared" ref="G29:J29" si="13">SUM(G8:G28)</f>
        <v>0</v>
      </c>
      <c r="H29" s="614">
        <f t="shared" si="13"/>
        <v>0</v>
      </c>
      <c r="I29" s="614">
        <f t="shared" si="13"/>
        <v>-75998.720000000001</v>
      </c>
      <c r="J29" s="614">
        <f t="shared" si="13"/>
        <v>0</v>
      </c>
      <c r="K29" s="614">
        <f>SUM(K8:K28)</f>
        <v>4127428.25</v>
      </c>
      <c r="L29" s="614">
        <f t="shared" ref="L29:O29" si="14">SUM(L8:L28)</f>
        <v>3105571.1875</v>
      </c>
      <c r="M29" s="614">
        <f t="shared" si="14"/>
        <v>343952.35416666674</v>
      </c>
      <c r="N29" s="614">
        <f t="shared" si="14"/>
        <v>3449523.5416666665</v>
      </c>
      <c r="O29" s="614">
        <f t="shared" si="14"/>
        <v>282263.08999999997</v>
      </c>
      <c r="P29" s="614">
        <f t="shared" ref="P29" si="15">SUM(P8:P28)</f>
        <v>250263.09</v>
      </c>
      <c r="Q29" s="614">
        <f t="shared" ref="Q29" si="16">SUM(Q8:Q28)</f>
        <v>253058.81999999998</v>
      </c>
      <c r="R29" s="614">
        <f t="shared" ref="R29" si="17">SUM(R8:R28)</f>
        <v>284540.46000000002</v>
      </c>
      <c r="S29" s="614">
        <f t="shared" ref="S29" si="18">SUM(S8:S28)</f>
        <v>459422.30000000005</v>
      </c>
      <c r="T29" s="614">
        <f t="shared" ref="T29" si="19">SUM(T8:T28)</f>
        <v>287217.71999999997</v>
      </c>
      <c r="U29" s="614">
        <f t="shared" ref="U29" si="20">SUM(U8:U28)</f>
        <v>280217.68</v>
      </c>
      <c r="V29" s="614">
        <f t="shared" ref="V29" si="21">SUM(V8:V28)</f>
        <v>281217.71999999997</v>
      </c>
      <c r="W29" s="614">
        <f t="shared" ref="W29" si="22">SUM(W8:W28)</f>
        <v>281217.71999999997</v>
      </c>
      <c r="X29" s="614">
        <f t="shared" ref="X29" si="23">SUM(X8:X28)</f>
        <v>287945.31</v>
      </c>
      <c r="Y29" s="614">
        <f t="shared" ref="Y29" si="24">SUM(Y8:Y28)</f>
        <v>0</v>
      </c>
      <c r="Z29" s="614">
        <f t="shared" ref="Z29" si="25">SUM(Z8:Z28)</f>
        <v>0</v>
      </c>
      <c r="AA29" s="614">
        <f t="shared" ref="AA29" si="26">SUM(AA8:AA28)</f>
        <v>2659418.6000000006</v>
      </c>
      <c r="AB29" s="614">
        <f t="shared" ref="AB29" si="27">SUM(AB8:AB28)</f>
        <v>287945.31</v>
      </c>
      <c r="AC29" s="614">
        <f t="shared" ref="AC29" si="28">SUM(AC8:AC28)</f>
        <v>2947363.91</v>
      </c>
      <c r="AD29" s="614">
        <f t="shared" ref="AD29:AE29" si="29">SUM(AD8:AD28)</f>
        <v>502159.63166666665</v>
      </c>
      <c r="AE29" s="614">
        <f t="shared" si="29"/>
        <v>1180064.3400000001</v>
      </c>
    </row>
    <row r="30" spans="1:31" x14ac:dyDescent="0.25">
      <c r="A30" s="1349" t="s">
        <v>620</v>
      </c>
      <c r="B30" s="632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677"/>
      <c r="O30" s="1228"/>
      <c r="P30" s="1228"/>
      <c r="Q30" s="1228"/>
      <c r="R30" s="1228"/>
      <c r="S30" s="1228"/>
      <c r="T30" s="1228"/>
      <c r="U30" s="1228"/>
      <c r="V30" s="1228"/>
      <c r="W30" s="1228"/>
      <c r="X30" s="1228"/>
      <c r="Y30" s="1228"/>
      <c r="Z30" s="1228"/>
      <c r="AA30" s="1228"/>
      <c r="AB30" s="1229"/>
      <c r="AC30" s="170"/>
      <c r="AD30" s="677"/>
      <c r="AE30" s="1229"/>
    </row>
    <row r="31" spans="1:31" x14ac:dyDescent="0.25">
      <c r="A31" s="1350" t="s">
        <v>139</v>
      </c>
      <c r="B31" s="735" t="s">
        <v>43</v>
      </c>
      <c r="C31" s="113"/>
      <c r="D31" s="113"/>
      <c r="E31" s="113"/>
      <c r="F31" s="113"/>
      <c r="G31" s="113"/>
      <c r="H31" s="113"/>
      <c r="I31" s="113"/>
      <c r="J31" s="113"/>
      <c r="K31" s="113">
        <f t="shared" ref="K31:K68" si="30">SUM(C31:J31)</f>
        <v>0</v>
      </c>
      <c r="L31" s="113">
        <f t="shared" ref="L31:L68" si="31">K31/12*9</f>
        <v>0</v>
      </c>
      <c r="M31" s="113">
        <f t="shared" ref="M31:M68" si="32">K31/12</f>
        <v>0</v>
      </c>
      <c r="N31" s="614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614"/>
      <c r="AC31" s="677"/>
      <c r="AD31" s="677"/>
      <c r="AE31" s="1229"/>
    </row>
    <row r="32" spans="1:31" x14ac:dyDescent="0.25">
      <c r="A32" s="1350" t="s">
        <v>260</v>
      </c>
      <c r="B32" s="853"/>
      <c r="C32" s="677">
        <f>120000-38400-12000-15600</f>
        <v>54000</v>
      </c>
      <c r="D32" s="677">
        <v>40000</v>
      </c>
      <c r="E32" s="677"/>
      <c r="F32" s="677"/>
      <c r="G32" s="677"/>
      <c r="H32" s="677"/>
      <c r="I32" s="677"/>
      <c r="J32" s="677"/>
      <c r="K32" s="113">
        <f t="shared" si="30"/>
        <v>94000</v>
      </c>
      <c r="L32" s="113">
        <f t="shared" si="31"/>
        <v>70500</v>
      </c>
      <c r="M32" s="113">
        <f t="shared" si="32"/>
        <v>7833.333333333333</v>
      </c>
      <c r="N32" s="677">
        <f t="shared" ref="N32:N57" si="33">L32+M32</f>
        <v>78333.333333333328</v>
      </c>
      <c r="O32" s="1228">
        <v>2640</v>
      </c>
      <c r="P32" s="1228">
        <v>6020</v>
      </c>
      <c r="Q32" s="1228">
        <v>4140</v>
      </c>
      <c r="R32" s="1228"/>
      <c r="S32" s="1228"/>
      <c r="T32" s="1228">
        <v>1180</v>
      </c>
      <c r="U32" s="1228">
        <v>7339</v>
      </c>
      <c r="V32" s="1228">
        <v>3787</v>
      </c>
      <c r="W32" s="1228">
        <v>21992</v>
      </c>
      <c r="X32" s="1228">
        <v>3120</v>
      </c>
      <c r="Y32" s="1228"/>
      <c r="Z32" s="1228"/>
      <c r="AA32" s="1228">
        <f t="shared" ref="AA32:AA68" si="34">O32+P32+Q32+R32+S32+T32+U32+V32+W32</f>
        <v>47098</v>
      </c>
      <c r="AB32" s="1228">
        <f t="shared" ref="AB32:AB68" si="35">X32</f>
        <v>3120</v>
      </c>
      <c r="AC32" s="677">
        <f t="shared" ref="AC32" si="36">AA32+AB32</f>
        <v>50218</v>
      </c>
      <c r="AD32" s="677">
        <f t="shared" ref="AD32:AD68" si="37">N32-AC32</f>
        <v>28115.333333333328</v>
      </c>
      <c r="AE32" s="1230">
        <f t="shared" ref="AE32:AE68" si="38">K32-AC32</f>
        <v>43782</v>
      </c>
    </row>
    <row r="33" spans="1:31" x14ac:dyDescent="0.25">
      <c r="A33" s="1350" t="s">
        <v>261</v>
      </c>
      <c r="B33" s="853"/>
      <c r="C33" s="677">
        <v>7500</v>
      </c>
      <c r="D33" s="677"/>
      <c r="E33" s="677"/>
      <c r="F33" s="677"/>
      <c r="G33" s="677"/>
      <c r="H33" s="677"/>
      <c r="I33" s="677"/>
      <c r="J33" s="677"/>
      <c r="K33" s="113">
        <f t="shared" si="30"/>
        <v>7500</v>
      </c>
      <c r="L33" s="113">
        <f t="shared" si="31"/>
        <v>5625</v>
      </c>
      <c r="M33" s="113">
        <f t="shared" si="32"/>
        <v>625</v>
      </c>
      <c r="N33" s="677">
        <f t="shared" si="33"/>
        <v>6250</v>
      </c>
      <c r="O33" s="1228"/>
      <c r="P33" s="1228"/>
      <c r="Q33" s="1228"/>
      <c r="R33" s="1228"/>
      <c r="S33" s="1228"/>
      <c r="T33" s="1228"/>
      <c r="U33" s="1228"/>
      <c r="V33" s="1228"/>
      <c r="W33" s="1228"/>
      <c r="X33" s="1228"/>
      <c r="Y33" s="1228"/>
      <c r="Z33" s="1228"/>
      <c r="AA33" s="1228">
        <f t="shared" si="34"/>
        <v>0</v>
      </c>
      <c r="AB33" s="1228">
        <f t="shared" si="35"/>
        <v>0</v>
      </c>
      <c r="AC33" s="677">
        <f t="shared" ref="AC33:AC75" si="39">AA33+AB33</f>
        <v>0</v>
      </c>
      <c r="AD33" s="677">
        <f t="shared" si="37"/>
        <v>6250</v>
      </c>
      <c r="AE33" s="1230">
        <f t="shared" si="38"/>
        <v>7500</v>
      </c>
    </row>
    <row r="34" spans="1:31" x14ac:dyDescent="0.25">
      <c r="A34" s="1350" t="s">
        <v>44</v>
      </c>
      <c r="B34" s="735" t="s">
        <v>140</v>
      </c>
      <c r="C34" s="677"/>
      <c r="D34" s="677"/>
      <c r="E34" s="677"/>
      <c r="F34" s="677"/>
      <c r="G34" s="677"/>
      <c r="H34" s="677"/>
      <c r="I34" s="677"/>
      <c r="J34" s="677"/>
      <c r="K34" s="113">
        <f t="shared" si="30"/>
        <v>0</v>
      </c>
      <c r="L34" s="113">
        <f t="shared" si="31"/>
        <v>0</v>
      </c>
      <c r="M34" s="113">
        <f t="shared" si="32"/>
        <v>0</v>
      </c>
      <c r="N34" s="677">
        <f t="shared" si="33"/>
        <v>0</v>
      </c>
      <c r="O34" s="1228"/>
      <c r="P34" s="1228"/>
      <c r="Q34" s="1228"/>
      <c r="R34" s="1228"/>
      <c r="S34" s="1228"/>
      <c r="T34" s="1228"/>
      <c r="U34" s="1228"/>
      <c r="V34" s="1228"/>
      <c r="W34" s="1228"/>
      <c r="X34" s="1228"/>
      <c r="Y34" s="1228"/>
      <c r="Z34" s="1228"/>
      <c r="AA34" s="1228">
        <f t="shared" si="34"/>
        <v>0</v>
      </c>
      <c r="AB34" s="1228">
        <f t="shared" si="35"/>
        <v>0</v>
      </c>
      <c r="AC34" s="677">
        <f t="shared" si="39"/>
        <v>0</v>
      </c>
      <c r="AD34" s="677">
        <f t="shared" si="37"/>
        <v>0</v>
      </c>
      <c r="AE34" s="1230">
        <f t="shared" si="38"/>
        <v>0</v>
      </c>
    </row>
    <row r="35" spans="1:31" x14ac:dyDescent="0.25">
      <c r="A35" s="1350" t="s">
        <v>260</v>
      </c>
      <c r="B35" s="853"/>
      <c r="C35" s="677">
        <f>80000-48500</f>
        <v>31500</v>
      </c>
      <c r="D35" s="677"/>
      <c r="E35" s="677"/>
      <c r="F35" s="677"/>
      <c r="G35" s="677"/>
      <c r="H35" s="677">
        <v>5060</v>
      </c>
      <c r="I35" s="677"/>
      <c r="J35" s="677"/>
      <c r="K35" s="113">
        <f t="shared" si="30"/>
        <v>36560</v>
      </c>
      <c r="L35" s="113">
        <f t="shared" si="31"/>
        <v>27420</v>
      </c>
      <c r="M35" s="113">
        <f t="shared" si="32"/>
        <v>3046.6666666666665</v>
      </c>
      <c r="N35" s="677">
        <f t="shared" si="33"/>
        <v>30466.666666666668</v>
      </c>
      <c r="O35" s="677"/>
      <c r="P35" s="677">
        <v>3600</v>
      </c>
      <c r="Q35" s="677">
        <v>2380</v>
      </c>
      <c r="R35" s="677"/>
      <c r="S35" s="170"/>
      <c r="T35" s="170"/>
      <c r="U35" s="170">
        <v>9360</v>
      </c>
      <c r="V35" s="170">
        <v>5060</v>
      </c>
      <c r="W35" s="677">
        <v>7394.5</v>
      </c>
      <c r="X35" s="170">
        <v>500</v>
      </c>
      <c r="Y35" s="170"/>
      <c r="Z35" s="170"/>
      <c r="AA35" s="1228">
        <f t="shared" si="34"/>
        <v>27794.5</v>
      </c>
      <c r="AB35" s="1228">
        <f t="shared" si="35"/>
        <v>500</v>
      </c>
      <c r="AC35" s="677">
        <f t="shared" si="39"/>
        <v>28294.5</v>
      </c>
      <c r="AD35" s="677">
        <f t="shared" si="37"/>
        <v>2172.1666666666679</v>
      </c>
      <c r="AE35" s="1230">
        <f t="shared" si="38"/>
        <v>8265.5</v>
      </c>
    </row>
    <row r="36" spans="1:31" x14ac:dyDescent="0.25">
      <c r="A36" s="1350" t="s">
        <v>50</v>
      </c>
      <c r="B36" s="735" t="s">
        <v>51</v>
      </c>
      <c r="C36" s="677"/>
      <c r="D36" s="677"/>
      <c r="E36" s="677"/>
      <c r="F36" s="677"/>
      <c r="G36" s="677"/>
      <c r="H36" s="677"/>
      <c r="I36" s="677"/>
      <c r="J36" s="677"/>
      <c r="K36" s="113">
        <f t="shared" si="30"/>
        <v>0</v>
      </c>
      <c r="L36" s="113">
        <f t="shared" si="31"/>
        <v>0</v>
      </c>
      <c r="M36" s="113">
        <f t="shared" si="32"/>
        <v>0</v>
      </c>
      <c r="N36" s="677">
        <f t="shared" si="33"/>
        <v>0</v>
      </c>
      <c r="O36" s="1228"/>
      <c r="P36" s="1228"/>
      <c r="Q36" s="1228"/>
      <c r="R36" s="1228"/>
      <c r="S36" s="1228"/>
      <c r="T36" s="1228"/>
      <c r="U36" s="1228"/>
      <c r="V36" s="1228"/>
      <c r="W36" s="1228"/>
      <c r="X36" s="1228"/>
      <c r="Y36" s="1228"/>
      <c r="Z36" s="1228"/>
      <c r="AA36" s="1228">
        <f t="shared" si="34"/>
        <v>0</v>
      </c>
      <c r="AB36" s="1228">
        <f t="shared" si="35"/>
        <v>0</v>
      </c>
      <c r="AC36" s="677">
        <f t="shared" si="39"/>
        <v>0</v>
      </c>
      <c r="AD36" s="677">
        <f t="shared" si="37"/>
        <v>0</v>
      </c>
      <c r="AE36" s="1230">
        <f t="shared" si="38"/>
        <v>0</v>
      </c>
    </row>
    <row r="37" spans="1:31" x14ac:dyDescent="0.25">
      <c r="A37" s="1350" t="s">
        <v>262</v>
      </c>
      <c r="B37" s="853"/>
      <c r="C37" s="677">
        <f>40000+8500</f>
        <v>48500</v>
      </c>
      <c r="D37" s="677"/>
      <c r="E37" s="677"/>
      <c r="F37" s="677"/>
      <c r="G37" s="677"/>
      <c r="H37" s="677"/>
      <c r="I37" s="677"/>
      <c r="J37" s="677"/>
      <c r="K37" s="113">
        <f t="shared" si="30"/>
        <v>48500</v>
      </c>
      <c r="L37" s="113">
        <f t="shared" si="31"/>
        <v>36375</v>
      </c>
      <c r="M37" s="113">
        <f t="shared" si="32"/>
        <v>4041.6666666666665</v>
      </c>
      <c r="N37" s="677">
        <f t="shared" si="33"/>
        <v>40416.666666666664</v>
      </c>
      <c r="O37" s="1228"/>
      <c r="P37" s="1228"/>
      <c r="Q37" s="1228">
        <v>10280</v>
      </c>
      <c r="R37" s="1228"/>
      <c r="S37" s="1228">
        <v>10350</v>
      </c>
      <c r="T37" s="1228"/>
      <c r="U37" s="1228"/>
      <c r="V37" s="1228">
        <v>1141</v>
      </c>
      <c r="W37" s="1228">
        <f>5481+1850</f>
        <v>7331</v>
      </c>
      <c r="X37" s="1228">
        <v>4645</v>
      </c>
      <c r="Y37" s="1228"/>
      <c r="Z37" s="1228"/>
      <c r="AA37" s="1228">
        <f t="shared" si="34"/>
        <v>29102</v>
      </c>
      <c r="AB37" s="1228">
        <f t="shared" si="35"/>
        <v>4645</v>
      </c>
      <c r="AC37" s="677">
        <f t="shared" si="39"/>
        <v>33747</v>
      </c>
      <c r="AD37" s="677">
        <f t="shared" si="37"/>
        <v>6669.6666666666642</v>
      </c>
      <c r="AE37" s="1230">
        <f t="shared" si="38"/>
        <v>14753</v>
      </c>
    </row>
    <row r="38" spans="1:31" x14ac:dyDescent="0.25">
      <c r="A38" s="518" t="s">
        <v>844</v>
      </c>
      <c r="B38" s="735" t="s">
        <v>56</v>
      </c>
      <c r="C38" s="677"/>
      <c r="D38" s="677"/>
      <c r="E38" s="677"/>
      <c r="F38" s="677"/>
      <c r="G38" s="677"/>
      <c r="H38" s="677"/>
      <c r="I38" s="677"/>
      <c r="J38" s="677"/>
      <c r="K38" s="113">
        <f t="shared" si="30"/>
        <v>0</v>
      </c>
      <c r="L38" s="113">
        <f t="shared" si="31"/>
        <v>0</v>
      </c>
      <c r="M38" s="113">
        <f t="shared" si="32"/>
        <v>0</v>
      </c>
      <c r="N38" s="677">
        <f t="shared" si="33"/>
        <v>0</v>
      </c>
      <c r="O38" s="170"/>
      <c r="P38" s="677"/>
      <c r="Q38" s="677"/>
      <c r="R38" s="677"/>
      <c r="S38" s="170"/>
      <c r="T38" s="170"/>
      <c r="U38" s="170"/>
      <c r="V38" s="170"/>
      <c r="W38" s="170"/>
      <c r="X38" s="170"/>
      <c r="Y38" s="170"/>
      <c r="Z38" s="170"/>
      <c r="AA38" s="1228">
        <f t="shared" si="34"/>
        <v>0</v>
      </c>
      <c r="AB38" s="1228">
        <f t="shared" si="35"/>
        <v>0</v>
      </c>
      <c r="AC38" s="677">
        <f t="shared" si="39"/>
        <v>0</v>
      </c>
      <c r="AD38" s="677">
        <f t="shared" si="37"/>
        <v>0</v>
      </c>
      <c r="AE38" s="1230">
        <f t="shared" si="38"/>
        <v>0</v>
      </c>
    </row>
    <row r="39" spans="1:31" x14ac:dyDescent="0.25">
      <c r="A39" s="456" t="s">
        <v>265</v>
      </c>
      <c r="B39" s="853"/>
      <c r="C39" s="677">
        <v>60000</v>
      </c>
      <c r="D39" s="677">
        <f>-40000</f>
        <v>-40000</v>
      </c>
      <c r="E39" s="677"/>
      <c r="F39" s="677"/>
      <c r="G39" s="677"/>
      <c r="H39" s="677"/>
      <c r="I39" s="677"/>
      <c r="J39" s="677"/>
      <c r="K39" s="113">
        <f t="shared" si="30"/>
        <v>20000</v>
      </c>
      <c r="L39" s="113">
        <f t="shared" si="31"/>
        <v>15000</v>
      </c>
      <c r="M39" s="113">
        <f t="shared" si="32"/>
        <v>1666.6666666666667</v>
      </c>
      <c r="N39" s="677">
        <f t="shared" si="33"/>
        <v>16666.666666666668</v>
      </c>
      <c r="O39" s="1228"/>
      <c r="P39" s="1228"/>
      <c r="Q39" s="1228">
        <v>6665.17</v>
      </c>
      <c r="R39" s="1228"/>
      <c r="S39" s="1228"/>
      <c r="T39" s="1228"/>
      <c r="U39" s="1228"/>
      <c r="V39" s="1228"/>
      <c r="W39" s="1228"/>
      <c r="X39" s="1228"/>
      <c r="Y39" s="1228"/>
      <c r="Z39" s="1228"/>
      <c r="AA39" s="1228">
        <f t="shared" si="34"/>
        <v>6665.17</v>
      </c>
      <c r="AB39" s="1228">
        <f t="shared" si="35"/>
        <v>0</v>
      </c>
      <c r="AC39" s="677">
        <f t="shared" si="39"/>
        <v>6665.17</v>
      </c>
      <c r="AD39" s="677">
        <f t="shared" si="37"/>
        <v>10001.496666666668</v>
      </c>
      <c r="AE39" s="1230">
        <f t="shared" si="38"/>
        <v>13334.83</v>
      </c>
    </row>
    <row r="40" spans="1:31" x14ac:dyDescent="0.25">
      <c r="A40" s="456" t="s">
        <v>845</v>
      </c>
      <c r="B40" s="853"/>
      <c r="C40" s="677">
        <v>30000</v>
      </c>
      <c r="D40" s="677"/>
      <c r="E40" s="677"/>
      <c r="F40" s="677"/>
      <c r="G40" s="677"/>
      <c r="H40" s="677"/>
      <c r="I40" s="677"/>
      <c r="J40" s="677"/>
      <c r="K40" s="113">
        <f t="shared" si="30"/>
        <v>30000</v>
      </c>
      <c r="L40" s="113">
        <f t="shared" si="31"/>
        <v>22500</v>
      </c>
      <c r="M40" s="113">
        <f t="shared" si="32"/>
        <v>2500</v>
      </c>
      <c r="N40" s="677">
        <f t="shared" si="33"/>
        <v>25000</v>
      </c>
      <c r="O40" s="170"/>
      <c r="P40" s="677">
        <v>1568.81</v>
      </c>
      <c r="Q40" s="677"/>
      <c r="R40" s="677"/>
      <c r="S40" s="677">
        <v>1047.3399999999999</v>
      </c>
      <c r="T40" s="170">
        <v>1738.24</v>
      </c>
      <c r="U40" s="170">
        <v>1551.84</v>
      </c>
      <c r="V40" s="170">
        <v>1132.1500000000001</v>
      </c>
      <c r="W40" s="170"/>
      <c r="X40" s="170"/>
      <c r="Y40" s="170"/>
      <c r="Z40" s="170"/>
      <c r="AA40" s="1228">
        <f t="shared" si="34"/>
        <v>7038.3799999999992</v>
      </c>
      <c r="AB40" s="1228">
        <f t="shared" si="35"/>
        <v>0</v>
      </c>
      <c r="AC40" s="677">
        <f t="shared" si="39"/>
        <v>7038.3799999999992</v>
      </c>
      <c r="AD40" s="677">
        <f t="shared" si="37"/>
        <v>17961.620000000003</v>
      </c>
      <c r="AE40" s="1230">
        <f t="shared" si="38"/>
        <v>22961.620000000003</v>
      </c>
    </row>
    <row r="41" spans="1:31" x14ac:dyDescent="0.25">
      <c r="A41" s="1350" t="s">
        <v>266</v>
      </c>
      <c r="B41" s="735" t="s">
        <v>267</v>
      </c>
      <c r="C41" s="677"/>
      <c r="D41" s="677"/>
      <c r="E41" s="677"/>
      <c r="F41" s="677"/>
      <c r="G41" s="677"/>
      <c r="H41" s="677"/>
      <c r="I41" s="677"/>
      <c r="J41" s="677"/>
      <c r="K41" s="113">
        <f t="shared" si="30"/>
        <v>0</v>
      </c>
      <c r="L41" s="113">
        <f t="shared" si="31"/>
        <v>0</v>
      </c>
      <c r="M41" s="113">
        <f t="shared" si="32"/>
        <v>0</v>
      </c>
      <c r="N41" s="677">
        <f t="shared" si="33"/>
        <v>0</v>
      </c>
      <c r="O41" s="1228"/>
      <c r="P41" s="1228"/>
      <c r="Q41" s="1228"/>
      <c r="R41" s="1228"/>
      <c r="S41" s="1228"/>
      <c r="T41" s="1228"/>
      <c r="U41" s="1228"/>
      <c r="V41" s="1228"/>
      <c r="W41" s="1228"/>
      <c r="X41" s="1228"/>
      <c r="Y41" s="1228"/>
      <c r="Z41" s="1228"/>
      <c r="AA41" s="1228">
        <f t="shared" si="34"/>
        <v>0</v>
      </c>
      <c r="AB41" s="1228">
        <f t="shared" si="35"/>
        <v>0</v>
      </c>
      <c r="AC41" s="677">
        <f t="shared" si="39"/>
        <v>0</v>
      </c>
      <c r="AD41" s="677">
        <f t="shared" si="37"/>
        <v>0</v>
      </c>
      <c r="AE41" s="1230">
        <f t="shared" si="38"/>
        <v>0</v>
      </c>
    </row>
    <row r="42" spans="1:31" x14ac:dyDescent="0.25">
      <c r="A42" s="993" t="s">
        <v>846</v>
      </c>
      <c r="B42" s="853"/>
      <c r="C42" s="677">
        <v>5000</v>
      </c>
      <c r="D42" s="677"/>
      <c r="E42" s="677"/>
      <c r="F42" s="677"/>
      <c r="G42" s="677"/>
      <c r="H42" s="677"/>
      <c r="I42" s="677"/>
      <c r="J42" s="677"/>
      <c r="K42" s="113">
        <f t="shared" si="30"/>
        <v>5000</v>
      </c>
      <c r="L42" s="113">
        <f t="shared" si="31"/>
        <v>3750</v>
      </c>
      <c r="M42" s="113">
        <f t="shared" si="32"/>
        <v>416.66666666666669</v>
      </c>
      <c r="N42" s="677">
        <f t="shared" si="33"/>
        <v>4166.666666666667</v>
      </c>
      <c r="O42" s="170"/>
      <c r="P42" s="677"/>
      <c r="Q42" s="677"/>
      <c r="R42" s="677"/>
      <c r="S42" s="170"/>
      <c r="T42" s="170"/>
      <c r="U42" s="170"/>
      <c r="V42" s="170"/>
      <c r="W42" s="170"/>
      <c r="X42" s="170"/>
      <c r="Y42" s="170"/>
      <c r="Z42" s="170"/>
      <c r="AA42" s="1228">
        <f t="shared" si="34"/>
        <v>0</v>
      </c>
      <c r="AB42" s="1228">
        <f t="shared" si="35"/>
        <v>0</v>
      </c>
      <c r="AC42" s="677">
        <f t="shared" si="39"/>
        <v>0</v>
      </c>
      <c r="AD42" s="677">
        <f t="shared" si="37"/>
        <v>4166.666666666667</v>
      </c>
      <c r="AE42" s="1230">
        <f t="shared" si="38"/>
        <v>5000</v>
      </c>
    </row>
    <row r="43" spans="1:31" x14ac:dyDescent="0.25">
      <c r="A43" s="993" t="s">
        <v>847</v>
      </c>
      <c r="B43" s="853"/>
      <c r="C43" s="677">
        <f>10000+10000</f>
        <v>20000</v>
      </c>
      <c r="D43" s="677"/>
      <c r="E43" s="677"/>
      <c r="F43" s="677"/>
      <c r="G43" s="677"/>
      <c r="H43" s="677"/>
      <c r="I43" s="677"/>
      <c r="J43" s="677"/>
      <c r="K43" s="113">
        <f t="shared" si="30"/>
        <v>20000</v>
      </c>
      <c r="L43" s="113">
        <f t="shared" si="31"/>
        <v>15000</v>
      </c>
      <c r="M43" s="113">
        <f t="shared" si="32"/>
        <v>1666.6666666666667</v>
      </c>
      <c r="N43" s="677">
        <f t="shared" si="33"/>
        <v>16666.666666666668</v>
      </c>
      <c r="O43" s="170"/>
      <c r="P43" s="677"/>
      <c r="Q43" s="677"/>
      <c r="R43" s="677"/>
      <c r="S43" s="170"/>
      <c r="T43" s="170"/>
      <c r="U43" s="170"/>
      <c r="V43" s="170">
        <v>19968</v>
      </c>
      <c r="W43" s="170"/>
      <c r="X43" s="170"/>
      <c r="Y43" s="170"/>
      <c r="Z43" s="170"/>
      <c r="AA43" s="1228">
        <f t="shared" si="34"/>
        <v>19968</v>
      </c>
      <c r="AB43" s="1228">
        <f t="shared" si="35"/>
        <v>0</v>
      </c>
      <c r="AC43" s="677">
        <f t="shared" si="39"/>
        <v>19968</v>
      </c>
      <c r="AD43" s="677">
        <f t="shared" si="37"/>
        <v>-3301.3333333333321</v>
      </c>
      <c r="AE43" s="1230">
        <f t="shared" si="38"/>
        <v>32</v>
      </c>
    </row>
    <row r="44" spans="1:31" x14ac:dyDescent="0.25">
      <c r="A44" s="993" t="s">
        <v>848</v>
      </c>
      <c r="B44" s="853"/>
      <c r="C44" s="677">
        <v>10000</v>
      </c>
      <c r="D44" s="677"/>
      <c r="E44" s="677"/>
      <c r="F44" s="677"/>
      <c r="G44" s="677"/>
      <c r="H44" s="677"/>
      <c r="I44" s="677"/>
      <c r="J44" s="677"/>
      <c r="K44" s="113">
        <f t="shared" si="30"/>
        <v>10000</v>
      </c>
      <c r="L44" s="113">
        <f t="shared" si="31"/>
        <v>7500</v>
      </c>
      <c r="M44" s="113">
        <f t="shared" si="32"/>
        <v>833.33333333333337</v>
      </c>
      <c r="N44" s="677">
        <f t="shared" si="33"/>
        <v>8333.3333333333339</v>
      </c>
      <c r="O44" s="1228"/>
      <c r="P44" s="1228"/>
      <c r="Q44" s="1228"/>
      <c r="R44" s="1228"/>
      <c r="S44" s="1228"/>
      <c r="T44" s="1228"/>
      <c r="U44" s="1228"/>
      <c r="V44" s="1228"/>
      <c r="W44" s="1228"/>
      <c r="X44" s="1228"/>
      <c r="Y44" s="1228"/>
      <c r="Z44" s="1228"/>
      <c r="AA44" s="1228">
        <f t="shared" si="34"/>
        <v>0</v>
      </c>
      <c r="AB44" s="1228">
        <f t="shared" si="35"/>
        <v>0</v>
      </c>
      <c r="AC44" s="677">
        <f t="shared" si="39"/>
        <v>0</v>
      </c>
      <c r="AD44" s="677">
        <f t="shared" si="37"/>
        <v>8333.3333333333339</v>
      </c>
      <c r="AE44" s="1230">
        <f t="shared" si="38"/>
        <v>10000</v>
      </c>
    </row>
    <row r="45" spans="1:31" x14ac:dyDescent="0.25">
      <c r="A45" s="993" t="s">
        <v>849</v>
      </c>
      <c r="B45" s="853"/>
      <c r="C45" s="677">
        <f>200000+300000</f>
        <v>500000</v>
      </c>
      <c r="D45" s="677">
        <f>-200000</f>
        <v>-200000</v>
      </c>
      <c r="E45" s="677"/>
      <c r="F45" s="677"/>
      <c r="G45" s="677"/>
      <c r="H45" s="677"/>
      <c r="I45" s="677"/>
      <c r="J45" s="677"/>
      <c r="K45" s="113">
        <f t="shared" si="30"/>
        <v>300000</v>
      </c>
      <c r="L45" s="113">
        <f t="shared" si="31"/>
        <v>225000</v>
      </c>
      <c r="M45" s="113">
        <f t="shared" si="32"/>
        <v>25000</v>
      </c>
      <c r="N45" s="677">
        <f t="shared" si="33"/>
        <v>250000</v>
      </c>
      <c r="O45" s="1228"/>
      <c r="P45" s="1228"/>
      <c r="Q45" s="1351">
        <v>124953</v>
      </c>
      <c r="R45" s="1228"/>
      <c r="S45" s="1228"/>
      <c r="T45" s="1228"/>
      <c r="U45" s="1228"/>
      <c r="V45" s="1228">
        <v>95984.25</v>
      </c>
      <c r="W45" s="1228">
        <v>22371</v>
      </c>
      <c r="X45" s="1228">
        <v>16000</v>
      </c>
      <c r="Y45" s="1228"/>
      <c r="Z45" s="1228"/>
      <c r="AA45" s="1228">
        <f t="shared" si="34"/>
        <v>243308.25</v>
      </c>
      <c r="AB45" s="1228">
        <f t="shared" si="35"/>
        <v>16000</v>
      </c>
      <c r="AC45" s="677">
        <f t="shared" si="39"/>
        <v>259308.25</v>
      </c>
      <c r="AD45" s="677">
        <f t="shared" si="37"/>
        <v>-9308.25</v>
      </c>
      <c r="AE45" s="1230">
        <f t="shared" si="38"/>
        <v>40691.75</v>
      </c>
    </row>
    <row r="46" spans="1:31" x14ac:dyDescent="0.25">
      <c r="A46" s="993" t="s">
        <v>850</v>
      </c>
      <c r="B46" s="853"/>
      <c r="C46" s="677">
        <f>10000+39000</f>
        <v>49000</v>
      </c>
      <c r="D46" s="677"/>
      <c r="E46" s="677"/>
      <c r="F46" s="677"/>
      <c r="G46" s="677"/>
      <c r="H46" s="677"/>
      <c r="I46" s="677"/>
      <c r="J46" s="677"/>
      <c r="K46" s="113">
        <f t="shared" si="30"/>
        <v>49000</v>
      </c>
      <c r="L46" s="113">
        <f t="shared" si="31"/>
        <v>36750</v>
      </c>
      <c r="M46" s="113">
        <f t="shared" si="32"/>
        <v>4083.3333333333335</v>
      </c>
      <c r="N46" s="677">
        <f t="shared" si="33"/>
        <v>40833.333333333336</v>
      </c>
      <c r="O46" s="1228"/>
      <c r="P46" s="1228"/>
      <c r="Q46" s="1228"/>
      <c r="R46" s="1228"/>
      <c r="S46" s="1228"/>
      <c r="T46" s="1228"/>
      <c r="U46" s="1228"/>
      <c r="V46" s="1228"/>
      <c r="W46" s="1228"/>
      <c r="X46" s="1228"/>
      <c r="Y46" s="1228"/>
      <c r="Z46" s="1228"/>
      <c r="AA46" s="1228">
        <f t="shared" si="34"/>
        <v>0</v>
      </c>
      <c r="AB46" s="1228">
        <f t="shared" si="35"/>
        <v>0</v>
      </c>
      <c r="AC46" s="677">
        <f t="shared" si="39"/>
        <v>0</v>
      </c>
      <c r="AD46" s="677">
        <f t="shared" si="37"/>
        <v>40833.333333333336</v>
      </c>
      <c r="AE46" s="1230">
        <f t="shared" si="38"/>
        <v>49000</v>
      </c>
    </row>
    <row r="47" spans="1:31" x14ac:dyDescent="0.25">
      <c r="A47" s="993" t="s">
        <v>1296</v>
      </c>
      <c r="B47" s="853"/>
      <c r="C47" s="677"/>
      <c r="D47" s="677"/>
      <c r="E47" s="677"/>
      <c r="F47" s="677"/>
      <c r="G47" s="677"/>
      <c r="H47" s="677"/>
      <c r="I47" s="677"/>
      <c r="J47" s="677">
        <v>200000</v>
      </c>
      <c r="K47" s="113">
        <f t="shared" si="30"/>
        <v>200000</v>
      </c>
      <c r="L47" s="113">
        <f t="shared" si="31"/>
        <v>150000</v>
      </c>
      <c r="M47" s="113">
        <f t="shared" si="32"/>
        <v>16666.666666666668</v>
      </c>
      <c r="N47" s="677"/>
      <c r="O47" s="1228"/>
      <c r="P47" s="1228"/>
      <c r="Q47" s="1228"/>
      <c r="R47" s="1228"/>
      <c r="S47" s="1228"/>
      <c r="T47" s="1228"/>
      <c r="U47" s="1228"/>
      <c r="V47" s="1228"/>
      <c r="W47" s="1228"/>
      <c r="X47" s="1228">
        <v>199185</v>
      </c>
      <c r="Y47" s="1228"/>
      <c r="Z47" s="1228"/>
      <c r="AA47" s="1228">
        <f t="shared" si="34"/>
        <v>0</v>
      </c>
      <c r="AB47" s="1228">
        <f t="shared" si="35"/>
        <v>199185</v>
      </c>
      <c r="AC47" s="677">
        <f t="shared" si="39"/>
        <v>199185</v>
      </c>
      <c r="AD47" s="677">
        <f t="shared" si="37"/>
        <v>-199185</v>
      </c>
      <c r="AE47" s="1230">
        <f t="shared" si="38"/>
        <v>815</v>
      </c>
    </row>
    <row r="48" spans="1:31" x14ac:dyDescent="0.25">
      <c r="A48" s="1350" t="s">
        <v>481</v>
      </c>
      <c r="B48" s="735" t="s">
        <v>60</v>
      </c>
      <c r="C48" s="677">
        <f>36000+24000+12000</f>
        <v>72000</v>
      </c>
      <c r="D48" s="677"/>
      <c r="E48" s="677"/>
      <c r="F48" s="677"/>
      <c r="G48" s="677"/>
      <c r="H48" s="677"/>
      <c r="I48" s="677"/>
      <c r="J48" s="677"/>
      <c r="K48" s="113">
        <f t="shared" si="30"/>
        <v>72000</v>
      </c>
      <c r="L48" s="113">
        <f t="shared" si="31"/>
        <v>54000</v>
      </c>
      <c r="M48" s="113">
        <f t="shared" si="32"/>
        <v>6000</v>
      </c>
      <c r="N48" s="677">
        <f t="shared" si="33"/>
        <v>60000</v>
      </c>
      <c r="O48" s="1228">
        <v>2499</v>
      </c>
      <c r="P48" s="1228">
        <v>2499</v>
      </c>
      <c r="Q48" s="1228">
        <v>8997</v>
      </c>
      <c r="R48" s="1228">
        <v>6997</v>
      </c>
      <c r="S48" s="1228">
        <v>5281.85</v>
      </c>
      <c r="T48" s="1228">
        <v>2998</v>
      </c>
      <c r="U48" s="1228">
        <v>5497</v>
      </c>
      <c r="V48" s="1228">
        <v>5497</v>
      </c>
      <c r="W48" s="1228">
        <v>2491.94</v>
      </c>
      <c r="X48" s="1228">
        <v>5497</v>
      </c>
      <c r="Y48" s="1228"/>
      <c r="Z48" s="1228"/>
      <c r="AA48" s="1228">
        <f t="shared" si="34"/>
        <v>42757.79</v>
      </c>
      <c r="AB48" s="1228">
        <f t="shared" si="35"/>
        <v>5497</v>
      </c>
      <c r="AC48" s="677">
        <f t="shared" si="39"/>
        <v>48254.79</v>
      </c>
      <c r="AD48" s="677">
        <f t="shared" si="37"/>
        <v>11745.21</v>
      </c>
      <c r="AE48" s="1230">
        <f t="shared" si="38"/>
        <v>23745.21</v>
      </c>
    </row>
    <row r="49" spans="1:31" x14ac:dyDescent="0.25">
      <c r="A49" s="1352" t="s">
        <v>61</v>
      </c>
      <c r="B49" s="735" t="s">
        <v>62</v>
      </c>
      <c r="C49" s="677">
        <v>36000</v>
      </c>
      <c r="D49" s="677"/>
      <c r="E49" s="677"/>
      <c r="F49" s="677"/>
      <c r="G49" s="677"/>
      <c r="H49" s="677"/>
      <c r="I49" s="677"/>
      <c r="J49" s="677"/>
      <c r="K49" s="113">
        <f t="shared" si="30"/>
        <v>36000</v>
      </c>
      <c r="L49" s="113">
        <f t="shared" si="31"/>
        <v>27000</v>
      </c>
      <c r="M49" s="113">
        <f t="shared" si="32"/>
        <v>3000</v>
      </c>
      <c r="N49" s="677">
        <f t="shared" si="33"/>
        <v>30000</v>
      </c>
      <c r="O49" s="1228">
        <v>2898</v>
      </c>
      <c r="P49" s="1228">
        <v>4234</v>
      </c>
      <c r="Q49" s="1228">
        <v>1398</v>
      </c>
      <c r="R49" s="1228">
        <v>1864</v>
      </c>
      <c r="S49" s="1228">
        <v>2897.1</v>
      </c>
      <c r="T49" s="1228">
        <v>1398</v>
      </c>
      <c r="U49" s="1228">
        <v>1500</v>
      </c>
      <c r="V49" s="1228">
        <v>1310.6300000000001</v>
      </c>
      <c r="W49" s="1228">
        <v>3000</v>
      </c>
      <c r="X49" s="1228">
        <v>1398</v>
      </c>
      <c r="Y49" s="1228"/>
      <c r="Z49" s="1228"/>
      <c r="AA49" s="1228">
        <f t="shared" si="34"/>
        <v>20499.73</v>
      </c>
      <c r="AB49" s="1228">
        <f t="shared" si="35"/>
        <v>1398</v>
      </c>
      <c r="AC49" s="677">
        <f t="shared" si="39"/>
        <v>21897.73</v>
      </c>
      <c r="AD49" s="677">
        <f t="shared" si="37"/>
        <v>8102.27</v>
      </c>
      <c r="AE49" s="1230">
        <f t="shared" si="38"/>
        <v>14102.27</v>
      </c>
    </row>
    <row r="50" spans="1:31" x14ac:dyDescent="0.25">
      <c r="A50" s="1350" t="s">
        <v>69</v>
      </c>
      <c r="B50" s="735" t="s">
        <v>70</v>
      </c>
      <c r="C50" s="677">
        <f>467400-75000</f>
        <v>392400</v>
      </c>
      <c r="D50" s="677"/>
      <c r="E50" s="677"/>
      <c r="F50" s="677"/>
      <c r="G50" s="677"/>
      <c r="H50" s="677"/>
      <c r="I50" s="677"/>
      <c r="J50" s="677"/>
      <c r="K50" s="113">
        <f t="shared" si="30"/>
        <v>392400</v>
      </c>
      <c r="L50" s="113">
        <f t="shared" si="31"/>
        <v>294300</v>
      </c>
      <c r="M50" s="113">
        <f t="shared" si="32"/>
        <v>32700</v>
      </c>
      <c r="N50" s="677">
        <f t="shared" si="33"/>
        <v>327000</v>
      </c>
      <c r="O50" s="1228">
        <v>24891.67</v>
      </c>
      <c r="P50" s="1228">
        <v>35419.17</v>
      </c>
      <c r="Q50" s="1228">
        <v>30000</v>
      </c>
      <c r="R50" s="1228">
        <v>31700</v>
      </c>
      <c r="S50" s="1228">
        <v>37490</v>
      </c>
      <c r="T50" s="1228">
        <v>36980</v>
      </c>
      <c r="U50" s="1228">
        <v>23000</v>
      </c>
      <c r="V50" s="1228">
        <v>31700</v>
      </c>
      <c r="W50" s="1228">
        <v>30100</v>
      </c>
      <c r="X50" s="1228">
        <v>31700</v>
      </c>
      <c r="Y50" s="1228"/>
      <c r="Z50" s="1228"/>
      <c r="AA50" s="1228">
        <f t="shared" si="34"/>
        <v>281280.83999999997</v>
      </c>
      <c r="AB50" s="1228">
        <f t="shared" si="35"/>
        <v>31700</v>
      </c>
      <c r="AC50" s="677">
        <f t="shared" si="39"/>
        <v>312980.83999999997</v>
      </c>
      <c r="AD50" s="677">
        <f t="shared" si="37"/>
        <v>14019.160000000033</v>
      </c>
      <c r="AE50" s="1230">
        <f t="shared" si="38"/>
        <v>79419.160000000033</v>
      </c>
    </row>
    <row r="51" spans="1:31" x14ac:dyDescent="0.25">
      <c r="A51" s="1350" t="s">
        <v>226</v>
      </c>
      <c r="B51" s="735" t="s">
        <v>225</v>
      </c>
      <c r="C51" s="677">
        <v>93000</v>
      </c>
      <c r="D51" s="677"/>
      <c r="E51" s="677"/>
      <c r="F51" s="677"/>
      <c r="G51" s="677"/>
      <c r="H51" s="677"/>
      <c r="I51" s="677"/>
      <c r="J51" s="677"/>
      <c r="K51" s="113">
        <f t="shared" si="30"/>
        <v>93000</v>
      </c>
      <c r="L51" s="113">
        <f t="shared" si="31"/>
        <v>69750</v>
      </c>
      <c r="M51" s="113">
        <f t="shared" si="32"/>
        <v>7750</v>
      </c>
      <c r="N51" s="677">
        <f t="shared" si="33"/>
        <v>77500</v>
      </c>
      <c r="O51" s="1228"/>
      <c r="P51" s="1228">
        <v>7500</v>
      </c>
      <c r="Q51" s="1228">
        <v>7500</v>
      </c>
      <c r="R51" s="1228">
        <v>7500</v>
      </c>
      <c r="S51" s="1228">
        <v>7450</v>
      </c>
      <c r="T51" s="1228">
        <v>8520</v>
      </c>
      <c r="U51" s="1228">
        <v>5450</v>
      </c>
      <c r="V51" s="1228">
        <v>7500</v>
      </c>
      <c r="W51" s="1228">
        <v>7500</v>
      </c>
      <c r="X51" s="1228">
        <v>7500</v>
      </c>
      <c r="Y51" s="1228"/>
      <c r="Z51" s="1228"/>
      <c r="AA51" s="1228">
        <f t="shared" si="34"/>
        <v>58920</v>
      </c>
      <c r="AB51" s="1228">
        <f t="shared" si="35"/>
        <v>7500</v>
      </c>
      <c r="AC51" s="677">
        <f t="shared" si="39"/>
        <v>66420</v>
      </c>
      <c r="AD51" s="677">
        <f t="shared" si="37"/>
        <v>11080</v>
      </c>
      <c r="AE51" s="1230">
        <f t="shared" si="38"/>
        <v>26580</v>
      </c>
    </row>
    <row r="52" spans="1:31" x14ac:dyDescent="0.25">
      <c r="A52" s="518" t="s">
        <v>606</v>
      </c>
      <c r="B52" s="853" t="s">
        <v>76</v>
      </c>
      <c r="C52" s="677"/>
      <c r="D52" s="677"/>
      <c r="E52" s="677"/>
      <c r="F52" s="677"/>
      <c r="G52" s="677"/>
      <c r="H52" s="677"/>
      <c r="I52" s="677"/>
      <c r="J52" s="677"/>
      <c r="K52" s="113">
        <f t="shared" si="30"/>
        <v>0</v>
      </c>
      <c r="L52" s="113">
        <f t="shared" si="31"/>
        <v>0</v>
      </c>
      <c r="M52" s="113">
        <f t="shared" si="32"/>
        <v>0</v>
      </c>
      <c r="N52" s="677">
        <f t="shared" si="33"/>
        <v>0</v>
      </c>
      <c r="O52" s="1228"/>
      <c r="P52" s="1228"/>
      <c r="Q52" s="1228"/>
      <c r="R52" s="1228"/>
      <c r="S52" s="1228"/>
      <c r="T52" s="1228"/>
      <c r="U52" s="1228"/>
      <c r="V52" s="1228"/>
      <c r="W52" s="1228"/>
      <c r="X52" s="1228"/>
      <c r="Y52" s="1228"/>
      <c r="Z52" s="1228"/>
      <c r="AA52" s="1228">
        <f t="shared" si="34"/>
        <v>0</v>
      </c>
      <c r="AB52" s="1228">
        <f t="shared" si="35"/>
        <v>0</v>
      </c>
      <c r="AC52" s="677">
        <f t="shared" si="39"/>
        <v>0</v>
      </c>
      <c r="AD52" s="677">
        <f t="shared" si="37"/>
        <v>0</v>
      </c>
      <c r="AE52" s="1230">
        <f t="shared" si="38"/>
        <v>0</v>
      </c>
    </row>
    <row r="53" spans="1:31" x14ac:dyDescent="0.25">
      <c r="A53" s="638" t="s">
        <v>110</v>
      </c>
      <c r="B53" s="853"/>
      <c r="C53" s="677">
        <v>5000</v>
      </c>
      <c r="D53" s="677">
        <f>7000</f>
        <v>7000</v>
      </c>
      <c r="E53" s="677"/>
      <c r="F53" s="677"/>
      <c r="G53" s="677"/>
      <c r="H53" s="677"/>
      <c r="I53" s="677"/>
      <c r="J53" s="677"/>
      <c r="K53" s="113">
        <f t="shared" si="30"/>
        <v>12000</v>
      </c>
      <c r="L53" s="113">
        <f t="shared" si="31"/>
        <v>9000</v>
      </c>
      <c r="M53" s="113">
        <f t="shared" si="32"/>
        <v>1000</v>
      </c>
      <c r="N53" s="677">
        <f t="shared" si="33"/>
        <v>10000</v>
      </c>
      <c r="O53" s="1228"/>
      <c r="P53" s="1228"/>
      <c r="Q53" s="1228"/>
      <c r="R53" s="1228"/>
      <c r="S53" s="1228"/>
      <c r="T53" s="1228"/>
      <c r="U53" s="1228"/>
      <c r="V53" s="1228"/>
      <c r="W53" s="1228"/>
      <c r="X53" s="1228"/>
      <c r="Y53" s="1228"/>
      <c r="Z53" s="1228"/>
      <c r="AA53" s="1228">
        <f t="shared" si="34"/>
        <v>0</v>
      </c>
      <c r="AB53" s="1228">
        <f t="shared" si="35"/>
        <v>0</v>
      </c>
      <c r="AC53" s="677">
        <f t="shared" si="39"/>
        <v>0</v>
      </c>
      <c r="AD53" s="677">
        <f t="shared" si="37"/>
        <v>10000</v>
      </c>
      <c r="AE53" s="1230">
        <f t="shared" si="38"/>
        <v>12000</v>
      </c>
    </row>
    <row r="54" spans="1:31" x14ac:dyDescent="0.25">
      <c r="A54" s="638" t="s">
        <v>390</v>
      </c>
      <c r="B54" s="853"/>
      <c r="C54" s="677">
        <f>5000+10000+7000</f>
        <v>22000</v>
      </c>
      <c r="D54" s="677"/>
      <c r="E54" s="677"/>
      <c r="F54" s="677"/>
      <c r="G54" s="677"/>
      <c r="H54" s="677"/>
      <c r="I54" s="677"/>
      <c r="J54" s="677"/>
      <c r="K54" s="113">
        <f t="shared" si="30"/>
        <v>22000</v>
      </c>
      <c r="L54" s="113">
        <f t="shared" si="31"/>
        <v>16500</v>
      </c>
      <c r="M54" s="113">
        <f t="shared" si="32"/>
        <v>1833.3333333333333</v>
      </c>
      <c r="N54" s="677">
        <f t="shared" si="33"/>
        <v>18333.333333333332</v>
      </c>
      <c r="O54" s="1228"/>
      <c r="P54" s="1228">
        <v>5000</v>
      </c>
      <c r="Q54" s="1228"/>
      <c r="R54" s="1228"/>
      <c r="S54" s="1228"/>
      <c r="T54" s="1228"/>
      <c r="U54" s="1228"/>
      <c r="V54" s="1228">
        <v>8500</v>
      </c>
      <c r="W54" s="1228"/>
      <c r="X54" s="1228"/>
      <c r="Y54" s="1228"/>
      <c r="Z54" s="1228"/>
      <c r="AA54" s="1228">
        <f t="shared" si="34"/>
        <v>13500</v>
      </c>
      <c r="AB54" s="1228">
        <f t="shared" si="35"/>
        <v>0</v>
      </c>
      <c r="AC54" s="677">
        <f t="shared" si="39"/>
        <v>13500</v>
      </c>
      <c r="AD54" s="677">
        <f t="shared" si="37"/>
        <v>4833.3333333333321</v>
      </c>
      <c r="AE54" s="1230">
        <f t="shared" si="38"/>
        <v>8500</v>
      </c>
    </row>
    <row r="55" spans="1:31" x14ac:dyDescent="0.25">
      <c r="A55" s="1353" t="s">
        <v>428</v>
      </c>
      <c r="B55" s="853"/>
      <c r="C55" s="677"/>
      <c r="D55" s="677"/>
      <c r="E55" s="677"/>
      <c r="F55" s="677"/>
      <c r="G55" s="677"/>
      <c r="H55" s="677"/>
      <c r="I55" s="677"/>
      <c r="J55" s="677"/>
      <c r="K55" s="113">
        <f t="shared" si="30"/>
        <v>0</v>
      </c>
      <c r="L55" s="113">
        <f t="shared" si="31"/>
        <v>0</v>
      </c>
      <c r="M55" s="113">
        <f t="shared" si="32"/>
        <v>0</v>
      </c>
      <c r="N55" s="677">
        <f t="shared" si="33"/>
        <v>0</v>
      </c>
      <c r="O55" s="1228"/>
      <c r="P55" s="1228"/>
      <c r="Q55" s="1228"/>
      <c r="R55" s="1228"/>
      <c r="S55" s="1228"/>
      <c r="T55" s="1228"/>
      <c r="U55" s="1228"/>
      <c r="V55" s="1228"/>
      <c r="W55" s="1228"/>
      <c r="X55" s="1228"/>
      <c r="Y55" s="1228"/>
      <c r="Z55" s="1228"/>
      <c r="AA55" s="1228">
        <f t="shared" si="34"/>
        <v>0</v>
      </c>
      <c r="AB55" s="1228">
        <f t="shared" si="35"/>
        <v>0</v>
      </c>
      <c r="AC55" s="677">
        <f t="shared" si="39"/>
        <v>0</v>
      </c>
      <c r="AD55" s="677">
        <f t="shared" si="37"/>
        <v>0</v>
      </c>
      <c r="AE55" s="1230">
        <f t="shared" si="38"/>
        <v>0</v>
      </c>
    </row>
    <row r="56" spans="1:31" x14ac:dyDescent="0.25">
      <c r="A56" s="1354" t="s">
        <v>851</v>
      </c>
      <c r="B56" s="853"/>
      <c r="C56" s="677">
        <f>40000+30000</f>
        <v>70000</v>
      </c>
      <c r="D56" s="677">
        <v>195000</v>
      </c>
      <c r="E56" s="677"/>
      <c r="F56" s="677"/>
      <c r="G56" s="677"/>
      <c r="H56" s="677"/>
      <c r="I56" s="677"/>
      <c r="J56" s="677"/>
      <c r="K56" s="113">
        <f>SUM(C56:J56)</f>
        <v>265000</v>
      </c>
      <c r="L56" s="113">
        <f t="shared" si="31"/>
        <v>198750</v>
      </c>
      <c r="M56" s="113">
        <f t="shared" si="32"/>
        <v>22083.333333333332</v>
      </c>
      <c r="N56" s="677">
        <f t="shared" si="33"/>
        <v>220833.33333333334</v>
      </c>
      <c r="O56" s="1228"/>
      <c r="P56" s="1228"/>
      <c r="Q56" s="1228">
        <v>8500</v>
      </c>
      <c r="R56" s="1228"/>
      <c r="S56" s="1228"/>
      <c r="T56" s="1228"/>
      <c r="U56" s="1228"/>
      <c r="V56" s="1228"/>
      <c r="W56" s="1228"/>
      <c r="X56" s="1228"/>
      <c r="Y56" s="1228"/>
      <c r="Z56" s="1228"/>
      <c r="AA56" s="1228">
        <f t="shared" si="34"/>
        <v>8500</v>
      </c>
      <c r="AB56" s="1228">
        <f t="shared" si="35"/>
        <v>0</v>
      </c>
      <c r="AC56" s="677">
        <f t="shared" si="39"/>
        <v>8500</v>
      </c>
      <c r="AD56" s="677">
        <f t="shared" si="37"/>
        <v>212333.33333333334</v>
      </c>
      <c r="AE56" s="1230">
        <f t="shared" si="38"/>
        <v>256500</v>
      </c>
    </row>
    <row r="57" spans="1:31" x14ac:dyDescent="0.25">
      <c r="A57" s="1354" t="s">
        <v>852</v>
      </c>
      <c r="B57" s="853"/>
      <c r="C57" s="677">
        <v>20000</v>
      </c>
      <c r="D57" s="677">
        <f>43000</f>
        <v>43000</v>
      </c>
      <c r="E57" s="677"/>
      <c r="F57" s="677"/>
      <c r="G57" s="677"/>
      <c r="H57" s="677"/>
      <c r="I57" s="677"/>
      <c r="J57" s="677"/>
      <c r="K57" s="113">
        <f t="shared" si="30"/>
        <v>63000</v>
      </c>
      <c r="L57" s="113">
        <f t="shared" si="31"/>
        <v>47250</v>
      </c>
      <c r="M57" s="113">
        <f t="shared" si="32"/>
        <v>5250</v>
      </c>
      <c r="N57" s="677">
        <f t="shared" si="33"/>
        <v>52500</v>
      </c>
      <c r="O57" s="1228"/>
      <c r="P57" s="1228"/>
      <c r="Q57" s="1228"/>
      <c r="R57" s="1228"/>
      <c r="S57" s="1228">
        <v>18215</v>
      </c>
      <c r="T57" s="1228"/>
      <c r="U57" s="1228"/>
      <c r="V57" s="1228"/>
      <c r="W57" s="1228"/>
      <c r="X57" s="1228"/>
      <c r="Y57" s="1228"/>
      <c r="Z57" s="1228"/>
      <c r="AA57" s="1228">
        <f t="shared" si="34"/>
        <v>18215</v>
      </c>
      <c r="AB57" s="1228">
        <f t="shared" si="35"/>
        <v>0</v>
      </c>
      <c r="AC57" s="677">
        <f t="shared" si="39"/>
        <v>18215</v>
      </c>
      <c r="AD57" s="677">
        <f t="shared" si="37"/>
        <v>34285</v>
      </c>
      <c r="AE57" s="1230">
        <f t="shared" si="38"/>
        <v>44785</v>
      </c>
    </row>
    <row r="58" spans="1:31" x14ac:dyDescent="0.25">
      <c r="A58" s="1350" t="s">
        <v>853</v>
      </c>
      <c r="B58" s="735" t="s">
        <v>79</v>
      </c>
      <c r="C58" s="677"/>
      <c r="D58" s="677"/>
      <c r="E58" s="677"/>
      <c r="F58" s="677"/>
      <c r="G58" s="677"/>
      <c r="H58" s="677"/>
      <c r="I58" s="677"/>
      <c r="J58" s="677"/>
      <c r="K58" s="113">
        <f t="shared" si="30"/>
        <v>0</v>
      </c>
      <c r="L58" s="113">
        <f t="shared" si="31"/>
        <v>0</v>
      </c>
      <c r="M58" s="113">
        <f t="shared" si="32"/>
        <v>0</v>
      </c>
      <c r="N58" s="677">
        <f t="shared" ref="N58:N68" si="40">L58+M58</f>
        <v>0</v>
      </c>
      <c r="O58" s="1228"/>
      <c r="P58" s="1228"/>
      <c r="Q58" s="1228"/>
      <c r="R58" s="1228"/>
      <c r="S58" s="1228"/>
      <c r="T58" s="1228"/>
      <c r="U58" s="1228"/>
      <c r="V58" s="1228"/>
      <c r="W58" s="1228"/>
      <c r="X58" s="1228"/>
      <c r="Y58" s="1228"/>
      <c r="Z58" s="1228"/>
      <c r="AA58" s="1228">
        <f t="shared" si="34"/>
        <v>0</v>
      </c>
      <c r="AB58" s="1228">
        <f t="shared" si="35"/>
        <v>0</v>
      </c>
      <c r="AC58" s="677">
        <f t="shared" si="39"/>
        <v>0</v>
      </c>
      <c r="AD58" s="677">
        <f t="shared" si="37"/>
        <v>0</v>
      </c>
      <c r="AE58" s="1230">
        <f t="shared" si="38"/>
        <v>0</v>
      </c>
    </row>
    <row r="59" spans="1:31" x14ac:dyDescent="0.25">
      <c r="A59" s="1355" t="s">
        <v>323</v>
      </c>
      <c r="B59" s="735"/>
      <c r="C59" s="677"/>
      <c r="D59" s="677"/>
      <c r="E59" s="677"/>
      <c r="F59" s="677"/>
      <c r="G59" s="677"/>
      <c r="H59" s="677"/>
      <c r="I59" s="677"/>
      <c r="J59" s="677"/>
      <c r="K59" s="113">
        <f t="shared" si="30"/>
        <v>0</v>
      </c>
      <c r="L59" s="113">
        <f t="shared" si="31"/>
        <v>0</v>
      </c>
      <c r="M59" s="113">
        <f t="shared" si="32"/>
        <v>0</v>
      </c>
      <c r="N59" s="677">
        <f t="shared" si="40"/>
        <v>0</v>
      </c>
      <c r="O59" s="1228"/>
      <c r="P59" s="1228"/>
      <c r="Q59" s="1228"/>
      <c r="R59" s="1228"/>
      <c r="S59" s="1228"/>
      <c r="T59" s="1228"/>
      <c r="U59" s="1228"/>
      <c r="V59" s="1228"/>
      <c r="W59" s="1228"/>
      <c r="X59" s="1228"/>
      <c r="Y59" s="1228"/>
      <c r="Z59" s="1228"/>
      <c r="AA59" s="1228">
        <f t="shared" si="34"/>
        <v>0</v>
      </c>
      <c r="AB59" s="1228">
        <f t="shared" si="35"/>
        <v>0</v>
      </c>
      <c r="AC59" s="677">
        <f t="shared" si="39"/>
        <v>0</v>
      </c>
      <c r="AD59" s="677">
        <f t="shared" si="37"/>
        <v>0</v>
      </c>
      <c r="AE59" s="1230">
        <f t="shared" si="38"/>
        <v>0</v>
      </c>
    </row>
    <row r="60" spans="1:31" x14ac:dyDescent="0.25">
      <c r="A60" s="1355" t="s">
        <v>854</v>
      </c>
      <c r="B60" s="735"/>
      <c r="C60" s="677">
        <v>15000</v>
      </c>
      <c r="D60" s="677">
        <v>15000</v>
      </c>
      <c r="E60" s="677"/>
      <c r="F60" s="677"/>
      <c r="G60" s="677"/>
      <c r="H60" s="677"/>
      <c r="I60" s="677"/>
      <c r="J60" s="677"/>
      <c r="K60" s="113">
        <f t="shared" si="30"/>
        <v>30000</v>
      </c>
      <c r="L60" s="113">
        <f t="shared" si="31"/>
        <v>22500</v>
      </c>
      <c r="M60" s="113">
        <f t="shared" si="32"/>
        <v>2500</v>
      </c>
      <c r="N60" s="677">
        <f t="shared" si="40"/>
        <v>25000</v>
      </c>
      <c r="O60" s="1228"/>
      <c r="P60" s="1228"/>
      <c r="Q60" s="1228">
        <v>1300</v>
      </c>
      <c r="R60" s="1228"/>
      <c r="S60" s="1228"/>
      <c r="T60" s="1228">
        <v>300</v>
      </c>
      <c r="U60" s="1228"/>
      <c r="V60" s="1228"/>
      <c r="W60" s="1228">
        <v>10000</v>
      </c>
      <c r="X60" s="1228"/>
      <c r="Y60" s="1228"/>
      <c r="Z60" s="1228"/>
      <c r="AA60" s="1228">
        <f t="shared" si="34"/>
        <v>11600</v>
      </c>
      <c r="AB60" s="1228">
        <f t="shared" si="35"/>
        <v>0</v>
      </c>
      <c r="AC60" s="677">
        <f t="shared" si="39"/>
        <v>11600</v>
      </c>
      <c r="AD60" s="677">
        <f t="shared" si="37"/>
        <v>13400</v>
      </c>
      <c r="AE60" s="1230">
        <f t="shared" si="38"/>
        <v>18400</v>
      </c>
    </row>
    <row r="61" spans="1:31" x14ac:dyDescent="0.25">
      <c r="A61" s="1355" t="s">
        <v>855</v>
      </c>
      <c r="B61" s="735"/>
      <c r="C61" s="677">
        <v>7000</v>
      </c>
      <c r="D61" s="677"/>
      <c r="E61" s="677"/>
      <c r="F61" s="677"/>
      <c r="G61" s="677"/>
      <c r="H61" s="677"/>
      <c r="I61" s="677"/>
      <c r="J61" s="677"/>
      <c r="K61" s="113">
        <f t="shared" si="30"/>
        <v>7000</v>
      </c>
      <c r="L61" s="113">
        <f t="shared" si="31"/>
        <v>5250</v>
      </c>
      <c r="M61" s="113">
        <f t="shared" si="32"/>
        <v>583.33333333333337</v>
      </c>
      <c r="N61" s="677">
        <f t="shared" si="40"/>
        <v>5833.333333333333</v>
      </c>
      <c r="O61" s="1228"/>
      <c r="P61" s="1228"/>
      <c r="Q61" s="1228"/>
      <c r="R61" s="1228"/>
      <c r="S61" s="1228"/>
      <c r="T61" s="1228"/>
      <c r="U61" s="1228">
        <v>710</v>
      </c>
      <c r="V61" s="1228"/>
      <c r="W61" s="1228">
        <v>900</v>
      </c>
      <c r="X61" s="1228"/>
      <c r="Y61" s="1228"/>
      <c r="Z61" s="1228"/>
      <c r="AA61" s="1228">
        <f t="shared" si="34"/>
        <v>1610</v>
      </c>
      <c r="AB61" s="1228">
        <f t="shared" si="35"/>
        <v>0</v>
      </c>
      <c r="AC61" s="677">
        <f t="shared" si="39"/>
        <v>1610</v>
      </c>
      <c r="AD61" s="677">
        <f t="shared" si="37"/>
        <v>4223.333333333333</v>
      </c>
      <c r="AE61" s="1230">
        <f t="shared" si="38"/>
        <v>5390</v>
      </c>
    </row>
    <row r="62" spans="1:31" x14ac:dyDescent="0.25">
      <c r="A62" s="1350" t="s">
        <v>856</v>
      </c>
      <c r="B62" s="735" t="s">
        <v>81</v>
      </c>
      <c r="C62" s="677">
        <v>5000</v>
      </c>
      <c r="D62" s="677"/>
      <c r="E62" s="677"/>
      <c r="F62" s="677"/>
      <c r="G62" s="677"/>
      <c r="H62" s="677"/>
      <c r="I62" s="677"/>
      <c r="J62" s="677"/>
      <c r="K62" s="113">
        <f t="shared" si="30"/>
        <v>5000</v>
      </c>
      <c r="L62" s="113">
        <f t="shared" si="31"/>
        <v>3750</v>
      </c>
      <c r="M62" s="113">
        <f t="shared" si="32"/>
        <v>416.66666666666669</v>
      </c>
      <c r="N62" s="677">
        <f t="shared" si="40"/>
        <v>4166.666666666667</v>
      </c>
      <c r="O62" s="1228"/>
      <c r="P62" s="1228"/>
      <c r="Q62" s="1228"/>
      <c r="R62" s="1228"/>
      <c r="S62" s="1228"/>
      <c r="T62" s="1228"/>
      <c r="U62" s="1228"/>
      <c r="V62" s="1228"/>
      <c r="W62" s="1228"/>
      <c r="X62" s="1228"/>
      <c r="Y62" s="1228"/>
      <c r="Z62" s="1228"/>
      <c r="AA62" s="1228">
        <f t="shared" si="34"/>
        <v>0</v>
      </c>
      <c r="AB62" s="1228">
        <f t="shared" si="35"/>
        <v>0</v>
      </c>
      <c r="AC62" s="677">
        <f t="shared" si="39"/>
        <v>0</v>
      </c>
      <c r="AD62" s="677">
        <f t="shared" si="37"/>
        <v>4166.666666666667</v>
      </c>
      <c r="AE62" s="1230">
        <f t="shared" si="38"/>
        <v>5000</v>
      </c>
    </row>
    <row r="63" spans="1:31" x14ac:dyDescent="0.25">
      <c r="A63" s="1350" t="s">
        <v>257</v>
      </c>
      <c r="B63" s="735" t="s">
        <v>83</v>
      </c>
      <c r="C63" s="677"/>
      <c r="D63" s="677"/>
      <c r="E63" s="677"/>
      <c r="F63" s="677"/>
      <c r="G63" s="677"/>
      <c r="H63" s="677"/>
      <c r="I63" s="677"/>
      <c r="J63" s="677"/>
      <c r="K63" s="113">
        <f t="shared" si="30"/>
        <v>0</v>
      </c>
      <c r="L63" s="113">
        <f t="shared" si="31"/>
        <v>0</v>
      </c>
      <c r="M63" s="113">
        <f t="shared" si="32"/>
        <v>0</v>
      </c>
      <c r="N63" s="677">
        <f t="shared" si="40"/>
        <v>0</v>
      </c>
      <c r="O63" s="1228"/>
      <c r="P63" s="1228"/>
      <c r="Q63" s="1228"/>
      <c r="R63" s="1228"/>
      <c r="S63" s="1228"/>
      <c r="T63" s="1228"/>
      <c r="U63" s="1228"/>
      <c r="V63" s="1228"/>
      <c r="W63" s="1228"/>
      <c r="X63" s="1228"/>
      <c r="Y63" s="1228"/>
      <c r="Z63" s="1228"/>
      <c r="AA63" s="1228">
        <f t="shared" si="34"/>
        <v>0</v>
      </c>
      <c r="AB63" s="1228">
        <f t="shared" si="35"/>
        <v>0</v>
      </c>
      <c r="AC63" s="677">
        <f t="shared" si="39"/>
        <v>0</v>
      </c>
      <c r="AD63" s="677">
        <f t="shared" si="37"/>
        <v>0</v>
      </c>
      <c r="AE63" s="1230">
        <f t="shared" si="38"/>
        <v>0</v>
      </c>
    </row>
    <row r="64" spans="1:31" x14ac:dyDescent="0.25">
      <c r="A64" s="1355" t="s">
        <v>854</v>
      </c>
      <c r="B64" s="735"/>
      <c r="C64" s="677">
        <v>3500</v>
      </c>
      <c r="D64" s="677"/>
      <c r="E64" s="677"/>
      <c r="F64" s="677"/>
      <c r="G64" s="677"/>
      <c r="H64" s="677"/>
      <c r="I64" s="677"/>
      <c r="J64" s="677"/>
      <c r="K64" s="113">
        <f t="shared" si="30"/>
        <v>3500</v>
      </c>
      <c r="L64" s="113">
        <f t="shared" si="31"/>
        <v>2625</v>
      </c>
      <c r="M64" s="113">
        <f t="shared" si="32"/>
        <v>291.66666666666669</v>
      </c>
      <c r="N64" s="677">
        <f t="shared" si="40"/>
        <v>2916.6666666666665</v>
      </c>
      <c r="O64" s="1228"/>
      <c r="P64" s="1228"/>
      <c r="Q64" s="1228"/>
      <c r="R64" s="1228"/>
      <c r="S64" s="1228"/>
      <c r="T64" s="1228"/>
      <c r="U64" s="1228"/>
      <c r="V64" s="1228"/>
      <c r="W64" s="1228"/>
      <c r="X64" s="1228"/>
      <c r="Y64" s="1228"/>
      <c r="Z64" s="1228"/>
      <c r="AA64" s="1228">
        <f t="shared" si="34"/>
        <v>0</v>
      </c>
      <c r="AB64" s="1228">
        <f t="shared" si="35"/>
        <v>0</v>
      </c>
      <c r="AC64" s="677">
        <f t="shared" si="39"/>
        <v>0</v>
      </c>
      <c r="AD64" s="677">
        <f t="shared" si="37"/>
        <v>2916.6666666666665</v>
      </c>
      <c r="AE64" s="1230">
        <f t="shared" si="38"/>
        <v>3500</v>
      </c>
    </row>
    <row r="65" spans="1:31" x14ac:dyDescent="0.25">
      <c r="A65" s="1355" t="s">
        <v>857</v>
      </c>
      <c r="B65" s="735"/>
      <c r="C65" s="677">
        <v>7500</v>
      </c>
      <c r="D65" s="677"/>
      <c r="E65" s="677"/>
      <c r="F65" s="677"/>
      <c r="G65" s="677"/>
      <c r="H65" s="677"/>
      <c r="I65" s="677"/>
      <c r="J65" s="677"/>
      <c r="K65" s="113">
        <f t="shared" si="30"/>
        <v>7500</v>
      </c>
      <c r="L65" s="113">
        <f t="shared" si="31"/>
        <v>5625</v>
      </c>
      <c r="M65" s="113">
        <f t="shared" si="32"/>
        <v>625</v>
      </c>
      <c r="N65" s="677">
        <f t="shared" si="40"/>
        <v>6250</v>
      </c>
      <c r="O65" s="1228"/>
      <c r="P65" s="1228"/>
      <c r="Q65" s="1228"/>
      <c r="R65" s="1228"/>
      <c r="S65" s="1228"/>
      <c r="T65" s="1228"/>
      <c r="U65" s="1228"/>
      <c r="V65" s="1228"/>
      <c r="W65" s="1228"/>
      <c r="X65" s="1228"/>
      <c r="Y65" s="1228"/>
      <c r="Z65" s="1228"/>
      <c r="AA65" s="1228">
        <f t="shared" si="34"/>
        <v>0</v>
      </c>
      <c r="AB65" s="1228">
        <f t="shared" si="35"/>
        <v>0</v>
      </c>
      <c r="AC65" s="677">
        <f t="shared" si="39"/>
        <v>0</v>
      </c>
      <c r="AD65" s="677">
        <f t="shared" si="37"/>
        <v>6250</v>
      </c>
      <c r="AE65" s="1230">
        <f t="shared" si="38"/>
        <v>7500</v>
      </c>
    </row>
    <row r="66" spans="1:31" x14ac:dyDescent="0.25">
      <c r="A66" s="1355" t="s">
        <v>852</v>
      </c>
      <c r="B66" s="735"/>
      <c r="C66" s="677">
        <v>7500</v>
      </c>
      <c r="D66" s="677"/>
      <c r="E66" s="677"/>
      <c r="F66" s="677"/>
      <c r="G66" s="677"/>
      <c r="H66" s="677"/>
      <c r="I66" s="677"/>
      <c r="J66" s="677"/>
      <c r="K66" s="113">
        <f t="shared" si="30"/>
        <v>7500</v>
      </c>
      <c r="L66" s="113">
        <f t="shared" si="31"/>
        <v>5625</v>
      </c>
      <c r="M66" s="113">
        <f t="shared" si="32"/>
        <v>625</v>
      </c>
      <c r="N66" s="677">
        <f t="shared" si="40"/>
        <v>6250</v>
      </c>
      <c r="O66" s="1228"/>
      <c r="P66" s="1228"/>
      <c r="Q66" s="1228"/>
      <c r="R66" s="1228"/>
      <c r="S66" s="1228"/>
      <c r="T66" s="1228"/>
      <c r="U66" s="1228"/>
      <c r="V66" s="1228"/>
      <c r="W66" s="1228"/>
      <c r="X66" s="1228"/>
      <c r="Y66" s="1228"/>
      <c r="Z66" s="1228"/>
      <c r="AA66" s="1228">
        <f t="shared" si="34"/>
        <v>0</v>
      </c>
      <c r="AB66" s="1228">
        <f t="shared" si="35"/>
        <v>0</v>
      </c>
      <c r="AC66" s="677">
        <f t="shared" si="39"/>
        <v>0</v>
      </c>
      <c r="AD66" s="677">
        <f t="shared" si="37"/>
        <v>6250</v>
      </c>
      <c r="AE66" s="1230">
        <f t="shared" si="38"/>
        <v>7500</v>
      </c>
    </row>
    <row r="67" spans="1:31" x14ac:dyDescent="0.25">
      <c r="A67" s="518" t="s">
        <v>253</v>
      </c>
      <c r="B67" s="735" t="s">
        <v>93</v>
      </c>
      <c r="C67" s="677"/>
      <c r="D67" s="677"/>
      <c r="E67" s="677"/>
      <c r="F67" s="677"/>
      <c r="G67" s="677"/>
      <c r="H67" s="677"/>
      <c r="I67" s="677"/>
      <c r="J67" s="677"/>
      <c r="K67" s="113">
        <f t="shared" si="30"/>
        <v>0</v>
      </c>
      <c r="L67" s="113">
        <f t="shared" si="31"/>
        <v>0</v>
      </c>
      <c r="M67" s="113">
        <f t="shared" si="32"/>
        <v>0</v>
      </c>
      <c r="N67" s="677">
        <f t="shared" si="40"/>
        <v>0</v>
      </c>
      <c r="O67" s="1228"/>
      <c r="P67" s="1228"/>
      <c r="Q67" s="1228"/>
      <c r="R67" s="1228"/>
      <c r="S67" s="1228"/>
      <c r="T67" s="1228"/>
      <c r="U67" s="1228"/>
      <c r="V67" s="1228"/>
      <c r="W67" s="1228"/>
      <c r="X67" s="1228"/>
      <c r="Y67" s="1228"/>
      <c r="Z67" s="1228"/>
      <c r="AA67" s="1228">
        <f t="shared" si="34"/>
        <v>0</v>
      </c>
      <c r="AB67" s="1228">
        <f t="shared" si="35"/>
        <v>0</v>
      </c>
      <c r="AC67" s="677">
        <f t="shared" si="39"/>
        <v>0</v>
      </c>
      <c r="AD67" s="677">
        <f t="shared" si="37"/>
        <v>0</v>
      </c>
      <c r="AE67" s="1230">
        <f t="shared" si="38"/>
        <v>0</v>
      </c>
    </row>
    <row r="68" spans="1:31" x14ac:dyDescent="0.25">
      <c r="A68" s="993" t="s">
        <v>268</v>
      </c>
      <c r="B68" s="853"/>
      <c r="C68" s="677">
        <v>25000</v>
      </c>
      <c r="D68" s="677"/>
      <c r="E68" s="677"/>
      <c r="F68" s="677"/>
      <c r="G68" s="677"/>
      <c r="H68" s="677"/>
      <c r="I68" s="677"/>
      <c r="J68" s="677"/>
      <c r="K68" s="113">
        <f t="shared" si="30"/>
        <v>25000</v>
      </c>
      <c r="L68" s="113">
        <f t="shared" si="31"/>
        <v>18750</v>
      </c>
      <c r="M68" s="113">
        <f t="shared" si="32"/>
        <v>2083.3333333333335</v>
      </c>
      <c r="N68" s="677">
        <f t="shared" si="40"/>
        <v>20833.333333333332</v>
      </c>
      <c r="O68" s="1228"/>
      <c r="P68" s="1228"/>
      <c r="Q68" s="1228">
        <v>6728</v>
      </c>
      <c r="R68" s="1228"/>
      <c r="S68" s="1228"/>
      <c r="T68" s="1228"/>
      <c r="U68" s="1228"/>
      <c r="V68" s="1228">
        <f>700+5000</f>
        <v>5700</v>
      </c>
      <c r="W68" s="1228">
        <f>7800+3600</f>
        <v>11400</v>
      </c>
      <c r="X68" s="1228"/>
      <c r="Y68" s="1228"/>
      <c r="Z68" s="1228"/>
      <c r="AA68" s="1228">
        <f t="shared" si="34"/>
        <v>23828</v>
      </c>
      <c r="AB68" s="1228">
        <f t="shared" si="35"/>
        <v>0</v>
      </c>
      <c r="AC68" s="677">
        <f t="shared" si="39"/>
        <v>23828</v>
      </c>
      <c r="AD68" s="677">
        <f t="shared" si="37"/>
        <v>-2994.6666666666679</v>
      </c>
      <c r="AE68" s="1230">
        <f t="shared" si="38"/>
        <v>1172</v>
      </c>
    </row>
    <row r="69" spans="1:31" x14ac:dyDescent="0.25">
      <c r="A69" s="630" t="s">
        <v>108</v>
      </c>
      <c r="B69" s="631"/>
      <c r="C69" s="614">
        <f t="shared" ref="C69:Z69" si="41">SUM(C32:C68)</f>
        <v>1596400</v>
      </c>
      <c r="D69" s="614">
        <f t="shared" si="41"/>
        <v>60000</v>
      </c>
      <c r="E69" s="614">
        <f t="shared" si="41"/>
        <v>0</v>
      </c>
      <c r="F69" s="614">
        <f t="shared" si="41"/>
        <v>0</v>
      </c>
      <c r="G69" s="614">
        <f t="shared" si="41"/>
        <v>0</v>
      </c>
      <c r="H69" s="614">
        <f t="shared" si="41"/>
        <v>5060</v>
      </c>
      <c r="I69" s="614">
        <f t="shared" si="41"/>
        <v>0</v>
      </c>
      <c r="J69" s="614">
        <f t="shared" si="41"/>
        <v>200000</v>
      </c>
      <c r="K69" s="614">
        <f t="shared" si="41"/>
        <v>1861460</v>
      </c>
      <c r="L69" s="614">
        <f t="shared" si="41"/>
        <v>1396095</v>
      </c>
      <c r="M69" s="614">
        <f t="shared" si="41"/>
        <v>155121.66666666666</v>
      </c>
      <c r="N69" s="614">
        <f t="shared" si="41"/>
        <v>1384550</v>
      </c>
      <c r="O69" s="614">
        <f t="shared" si="41"/>
        <v>32928.67</v>
      </c>
      <c r="P69" s="614">
        <f t="shared" si="41"/>
        <v>65840.98</v>
      </c>
      <c r="Q69" s="614">
        <f t="shared" si="41"/>
        <v>212841.16999999998</v>
      </c>
      <c r="R69" s="614">
        <f t="shared" si="41"/>
        <v>48061</v>
      </c>
      <c r="S69" s="614">
        <f t="shared" si="41"/>
        <v>82731.290000000008</v>
      </c>
      <c r="T69" s="614">
        <f t="shared" si="41"/>
        <v>53114.239999999998</v>
      </c>
      <c r="U69" s="614">
        <f t="shared" si="41"/>
        <v>54407.839999999997</v>
      </c>
      <c r="V69" s="614">
        <f t="shared" si="41"/>
        <v>187280.03</v>
      </c>
      <c r="W69" s="614">
        <f t="shared" si="41"/>
        <v>124480.44</v>
      </c>
      <c r="X69" s="614">
        <f t="shared" si="41"/>
        <v>269545</v>
      </c>
      <c r="Y69" s="614">
        <f t="shared" si="41"/>
        <v>0</v>
      </c>
      <c r="Z69" s="614">
        <f t="shared" si="41"/>
        <v>0</v>
      </c>
      <c r="AA69" s="614">
        <f>SUM(AA32:AA68)</f>
        <v>861685.65999999992</v>
      </c>
      <c r="AB69" s="614">
        <f t="shared" ref="AB69:AE69" si="42">SUM(AB32:AB68)</f>
        <v>269545</v>
      </c>
      <c r="AC69" s="614">
        <f t="shared" si="42"/>
        <v>1131230.6600000001</v>
      </c>
      <c r="AD69" s="614">
        <f t="shared" si="42"/>
        <v>253319.34000000003</v>
      </c>
      <c r="AE69" s="614">
        <f t="shared" si="42"/>
        <v>730229.34000000008</v>
      </c>
    </row>
    <row r="70" spans="1:31" x14ac:dyDescent="0.25">
      <c r="A70" s="1356" t="s">
        <v>230</v>
      </c>
      <c r="B70" s="632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229"/>
      <c r="O70" s="1228"/>
      <c r="P70" s="1228"/>
      <c r="Q70" s="1228"/>
      <c r="R70" s="1228"/>
      <c r="S70" s="1228"/>
      <c r="T70" s="1228"/>
      <c r="U70" s="1228"/>
      <c r="V70" s="1228"/>
      <c r="W70" s="1228"/>
      <c r="X70" s="1228"/>
      <c r="Y70" s="1228"/>
      <c r="Z70" s="1228"/>
      <c r="AA70" s="1228"/>
      <c r="AB70" s="1229"/>
      <c r="AC70" s="677">
        <f t="shared" si="39"/>
        <v>0</v>
      </c>
      <c r="AD70" s="677">
        <f t="shared" ref="AD70:AD75" si="43">N70-AC70</f>
        <v>0</v>
      </c>
      <c r="AE70" s="1230">
        <f t="shared" ref="AE70:AE75" si="44">K70-AC70</f>
        <v>0</v>
      </c>
    </row>
    <row r="71" spans="1:31" x14ac:dyDescent="0.25">
      <c r="A71" s="630" t="s">
        <v>338</v>
      </c>
      <c r="B71" s="1229"/>
      <c r="C71" s="1229"/>
      <c r="D71" s="1229"/>
      <c r="E71" s="1229"/>
      <c r="F71" s="1229"/>
      <c r="G71" s="1229"/>
      <c r="H71" s="1229"/>
      <c r="I71" s="1229"/>
      <c r="J71" s="1229"/>
      <c r="K71" s="1229"/>
      <c r="L71" s="1229"/>
      <c r="M71" s="113"/>
      <c r="N71" s="1229"/>
      <c r="O71" s="1228"/>
      <c r="P71" s="1228"/>
      <c r="Q71" s="1228"/>
      <c r="R71" s="1228"/>
      <c r="S71" s="1228"/>
      <c r="T71" s="1228"/>
      <c r="U71" s="1228"/>
      <c r="V71" s="1228"/>
      <c r="W71" s="1228"/>
      <c r="X71" s="1228"/>
      <c r="Y71" s="1228"/>
      <c r="Z71" s="1228"/>
      <c r="AA71" s="1228">
        <f t="shared" ref="AA71:AA75" si="45">O71+P71+Q71+R71+S71+T71+U71+V71+W71</f>
        <v>0</v>
      </c>
      <c r="AB71" s="1228">
        <f t="shared" ref="AB71:AB75" si="46">X71</f>
        <v>0</v>
      </c>
      <c r="AC71" s="677">
        <f t="shared" si="39"/>
        <v>0</v>
      </c>
      <c r="AD71" s="677">
        <f t="shared" si="43"/>
        <v>0</v>
      </c>
      <c r="AE71" s="1230">
        <f t="shared" si="44"/>
        <v>0</v>
      </c>
    </row>
    <row r="72" spans="1:31" x14ac:dyDescent="0.25">
      <c r="A72" s="807" t="s">
        <v>1081</v>
      </c>
      <c r="B72" s="1229"/>
      <c r="C72" s="1247">
        <v>35000</v>
      </c>
      <c r="D72" s="1247"/>
      <c r="E72" s="1247"/>
      <c r="F72" s="1247"/>
      <c r="G72" s="1247">
        <f>150000</f>
        <v>150000</v>
      </c>
      <c r="H72" s="1247"/>
      <c r="I72" s="1247"/>
      <c r="J72" s="1247"/>
      <c r="K72" s="113">
        <f>SUM(C72:J72)</f>
        <v>185000</v>
      </c>
      <c r="L72" s="1247">
        <f>K72</f>
        <v>185000</v>
      </c>
      <c r="M72" s="113">
        <f>K72</f>
        <v>185000</v>
      </c>
      <c r="N72" s="677">
        <f>K72</f>
        <v>185000</v>
      </c>
      <c r="O72" s="1228"/>
      <c r="P72" s="1228"/>
      <c r="Q72" s="1228"/>
      <c r="R72" s="1228"/>
      <c r="S72" s="1228"/>
      <c r="T72" s="1228"/>
      <c r="U72" s="1228"/>
      <c r="V72" s="1228"/>
      <c r="W72" s="1228">
        <f>149254+35000</f>
        <v>184254</v>
      </c>
      <c r="X72" s="1228"/>
      <c r="Y72" s="1228"/>
      <c r="Z72" s="1228"/>
      <c r="AA72" s="1228">
        <f t="shared" si="45"/>
        <v>184254</v>
      </c>
      <c r="AB72" s="1228">
        <f t="shared" si="46"/>
        <v>0</v>
      </c>
      <c r="AC72" s="677">
        <f t="shared" si="39"/>
        <v>184254</v>
      </c>
      <c r="AD72" s="677">
        <f t="shared" si="43"/>
        <v>746</v>
      </c>
      <c r="AE72" s="1230">
        <f t="shared" si="44"/>
        <v>746</v>
      </c>
    </row>
    <row r="73" spans="1:31" x14ac:dyDescent="0.25">
      <c r="A73" s="807" t="s">
        <v>1082</v>
      </c>
      <c r="B73" s="1229"/>
      <c r="C73" s="1247">
        <v>1250</v>
      </c>
      <c r="D73" s="1247"/>
      <c r="E73" s="1247"/>
      <c r="F73" s="1247"/>
      <c r="G73" s="1247"/>
      <c r="H73" s="1247"/>
      <c r="I73" s="1247"/>
      <c r="J73" s="1247"/>
      <c r="K73" s="113">
        <f>SUM(C73:J73)</f>
        <v>1250</v>
      </c>
      <c r="L73" s="1247">
        <f t="shared" ref="L73:L75" si="47">K73</f>
        <v>1250</v>
      </c>
      <c r="M73" s="113">
        <f t="shared" ref="M73:M75" si="48">K73</f>
        <v>1250</v>
      </c>
      <c r="N73" s="677">
        <f>K73</f>
        <v>1250</v>
      </c>
      <c r="O73" s="1228"/>
      <c r="P73" s="1228"/>
      <c r="Q73" s="1228"/>
      <c r="R73" s="1228"/>
      <c r="S73" s="1228"/>
      <c r="T73" s="1228"/>
      <c r="U73" s="1228"/>
      <c r="V73" s="1228"/>
      <c r="W73" s="1228"/>
      <c r="X73" s="1228"/>
      <c r="Y73" s="1228"/>
      <c r="Z73" s="1228"/>
      <c r="AA73" s="1228">
        <f t="shared" si="45"/>
        <v>0</v>
      </c>
      <c r="AB73" s="1228">
        <f t="shared" si="46"/>
        <v>0</v>
      </c>
      <c r="AC73" s="677">
        <f t="shared" si="39"/>
        <v>0</v>
      </c>
      <c r="AD73" s="677">
        <f t="shared" si="43"/>
        <v>1250</v>
      </c>
      <c r="AE73" s="1230">
        <f t="shared" si="44"/>
        <v>1250</v>
      </c>
    </row>
    <row r="74" spans="1:31" x14ac:dyDescent="0.25">
      <c r="A74" s="807" t="s">
        <v>1083</v>
      </c>
      <c r="B74" s="1229"/>
      <c r="C74" s="1247">
        <v>463162</v>
      </c>
      <c r="D74" s="1247"/>
      <c r="E74" s="1247"/>
      <c r="F74" s="1247"/>
      <c r="G74" s="1247"/>
      <c r="H74" s="1247"/>
      <c r="I74" s="1247"/>
      <c r="J74" s="1247"/>
      <c r="K74" s="113">
        <f>SUM(C74:J74)</f>
        <v>463162</v>
      </c>
      <c r="L74" s="1247">
        <f t="shared" si="47"/>
        <v>463162</v>
      </c>
      <c r="M74" s="113">
        <f t="shared" si="48"/>
        <v>463162</v>
      </c>
      <c r="N74" s="677">
        <f>K74</f>
        <v>463162</v>
      </c>
      <c r="O74" s="1228">
        <v>110500</v>
      </c>
      <c r="P74" s="1228">
        <v>102000</v>
      </c>
      <c r="Q74" s="1228">
        <v>250250</v>
      </c>
      <c r="R74" s="1228"/>
      <c r="S74" s="1228"/>
      <c r="T74" s="1228"/>
      <c r="U74" s="1228"/>
      <c r="V74" s="1228"/>
      <c r="W74" s="1228"/>
      <c r="X74" s="1228"/>
      <c r="Y74" s="1228"/>
      <c r="Z74" s="1228"/>
      <c r="AA74" s="1228">
        <f t="shared" si="45"/>
        <v>462750</v>
      </c>
      <c r="AB74" s="1228">
        <f t="shared" si="46"/>
        <v>0</v>
      </c>
      <c r="AC74" s="677">
        <f t="shared" si="39"/>
        <v>462750</v>
      </c>
      <c r="AD74" s="677">
        <f t="shared" si="43"/>
        <v>412</v>
      </c>
      <c r="AE74" s="1230">
        <f t="shared" si="44"/>
        <v>412</v>
      </c>
    </row>
    <row r="75" spans="1:31" x14ac:dyDescent="0.25">
      <c r="A75" s="808" t="s">
        <v>855</v>
      </c>
      <c r="B75" s="1229"/>
      <c r="C75" s="1247">
        <v>10</v>
      </c>
      <c r="D75" s="1247"/>
      <c r="E75" s="1247"/>
      <c r="F75" s="1247"/>
      <c r="G75" s="1247"/>
      <c r="H75" s="1247"/>
      <c r="I75" s="1247"/>
      <c r="J75" s="1247"/>
      <c r="K75" s="113">
        <f>SUM(C75:J75)</f>
        <v>10</v>
      </c>
      <c r="L75" s="1247">
        <f t="shared" si="47"/>
        <v>10</v>
      </c>
      <c r="M75" s="113">
        <f t="shared" si="48"/>
        <v>10</v>
      </c>
      <c r="N75" s="677">
        <f>K75</f>
        <v>10</v>
      </c>
      <c r="O75" s="1228"/>
      <c r="P75" s="1228"/>
      <c r="Q75" s="1228"/>
      <c r="R75" s="1228"/>
      <c r="S75" s="1228"/>
      <c r="T75" s="1228"/>
      <c r="U75" s="1228"/>
      <c r="V75" s="1228"/>
      <c r="W75" s="1228"/>
      <c r="X75" s="1228"/>
      <c r="Y75" s="1228"/>
      <c r="Z75" s="1228"/>
      <c r="AA75" s="1228">
        <f t="shared" si="45"/>
        <v>0</v>
      </c>
      <c r="AB75" s="1228">
        <f t="shared" si="46"/>
        <v>0</v>
      </c>
      <c r="AC75" s="677">
        <f t="shared" si="39"/>
        <v>0</v>
      </c>
      <c r="AD75" s="677">
        <f t="shared" si="43"/>
        <v>10</v>
      </c>
      <c r="AE75" s="1230">
        <f t="shared" si="44"/>
        <v>10</v>
      </c>
    </row>
    <row r="76" spans="1:31" x14ac:dyDescent="0.25">
      <c r="A76" s="630" t="s">
        <v>339</v>
      </c>
      <c r="B76" s="1229"/>
      <c r="C76" s="1357">
        <f>SUM(C72:C75)</f>
        <v>499422</v>
      </c>
      <c r="D76" s="1357">
        <f>SUM(D72:D75)</f>
        <v>0</v>
      </c>
      <c r="E76" s="1357">
        <f>SUM(E72:E75)</f>
        <v>0</v>
      </c>
      <c r="F76" s="1357">
        <f>SUM(F72:F75)</f>
        <v>0</v>
      </c>
      <c r="G76" s="1357">
        <f t="shared" ref="G76:J76" si="49">SUM(G72:G75)</f>
        <v>150000</v>
      </c>
      <c r="H76" s="1357">
        <f t="shared" si="49"/>
        <v>0</v>
      </c>
      <c r="I76" s="1357">
        <f t="shared" si="49"/>
        <v>0</v>
      </c>
      <c r="J76" s="1357">
        <f t="shared" si="49"/>
        <v>0</v>
      </c>
      <c r="K76" s="1357">
        <f t="shared" ref="K76:AE76" si="50">SUM(K72:K75)</f>
        <v>649422</v>
      </c>
      <c r="L76" s="1357">
        <f t="shared" si="50"/>
        <v>649422</v>
      </c>
      <c r="M76" s="1357">
        <f t="shared" si="50"/>
        <v>649422</v>
      </c>
      <c r="N76" s="1357">
        <f t="shared" si="50"/>
        <v>649422</v>
      </c>
      <c r="O76" s="1357">
        <f t="shared" si="50"/>
        <v>110500</v>
      </c>
      <c r="P76" s="1357">
        <f t="shared" si="50"/>
        <v>102000</v>
      </c>
      <c r="Q76" s="1357">
        <f t="shared" si="50"/>
        <v>250250</v>
      </c>
      <c r="R76" s="1357">
        <f t="shared" si="50"/>
        <v>0</v>
      </c>
      <c r="S76" s="1357">
        <f t="shared" si="50"/>
        <v>0</v>
      </c>
      <c r="T76" s="1357">
        <f t="shared" si="50"/>
        <v>0</v>
      </c>
      <c r="U76" s="1357">
        <f t="shared" si="50"/>
        <v>0</v>
      </c>
      <c r="V76" s="1357">
        <f t="shared" si="50"/>
        <v>0</v>
      </c>
      <c r="W76" s="1357">
        <f t="shared" si="50"/>
        <v>184254</v>
      </c>
      <c r="X76" s="1357">
        <f t="shared" si="50"/>
        <v>0</v>
      </c>
      <c r="Y76" s="1357">
        <f t="shared" si="50"/>
        <v>0</v>
      </c>
      <c r="Z76" s="1357">
        <f t="shared" si="50"/>
        <v>0</v>
      </c>
      <c r="AA76" s="1357">
        <f t="shared" si="50"/>
        <v>647004</v>
      </c>
      <c r="AB76" s="1357">
        <f t="shared" si="50"/>
        <v>0</v>
      </c>
      <c r="AC76" s="1357">
        <f t="shared" si="50"/>
        <v>647004</v>
      </c>
      <c r="AD76" s="1357">
        <f t="shared" si="50"/>
        <v>2418</v>
      </c>
      <c r="AE76" s="1357">
        <f t="shared" si="50"/>
        <v>2418</v>
      </c>
    </row>
    <row r="77" spans="1:31" x14ac:dyDescent="0.25">
      <c r="A77" s="1356" t="s">
        <v>329</v>
      </c>
      <c r="B77" s="632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229"/>
      <c r="O77" s="1228"/>
      <c r="P77" s="1228"/>
      <c r="Q77" s="1228"/>
      <c r="R77" s="1228"/>
      <c r="S77" s="1228"/>
      <c r="T77" s="1228"/>
      <c r="U77" s="1228"/>
      <c r="V77" s="1228"/>
      <c r="W77" s="1228"/>
      <c r="X77" s="1228"/>
      <c r="Y77" s="1228"/>
      <c r="Z77" s="1228"/>
      <c r="AA77" s="1228"/>
      <c r="AB77" s="1229"/>
      <c r="AC77" s="1229"/>
      <c r="AD77" s="1229"/>
      <c r="AE77" s="1229"/>
    </row>
    <row r="78" spans="1:31" x14ac:dyDescent="0.25">
      <c r="A78" s="1352" t="s">
        <v>390</v>
      </c>
      <c r="B78" s="1345" t="s">
        <v>280</v>
      </c>
      <c r="C78" s="614"/>
      <c r="D78" s="614"/>
      <c r="E78" s="614"/>
      <c r="F78" s="614"/>
      <c r="G78" s="614"/>
      <c r="H78" s="614"/>
      <c r="I78" s="614"/>
      <c r="J78" s="614"/>
      <c r="K78" s="614"/>
      <c r="L78" s="614"/>
      <c r="M78" s="113"/>
      <c r="N78" s="1229"/>
      <c r="O78" s="1228"/>
      <c r="P78" s="1228"/>
      <c r="Q78" s="1228"/>
      <c r="R78" s="1228"/>
      <c r="S78" s="1228"/>
      <c r="T78" s="1228"/>
      <c r="U78" s="1228"/>
      <c r="V78" s="1228"/>
      <c r="W78" s="1228"/>
      <c r="X78" s="1228"/>
      <c r="Y78" s="1228"/>
      <c r="Z78" s="1228"/>
      <c r="AA78" s="1228">
        <f t="shared" ref="AA78:AA88" si="51">O78+P78+Q78+R78+S78+T78+U78+V78+W78</f>
        <v>0</v>
      </c>
      <c r="AB78" s="1228">
        <f t="shared" ref="AB78:AB88" si="52">X78</f>
        <v>0</v>
      </c>
      <c r="AC78" s="677">
        <f t="shared" ref="AC78" si="53">AA78+AB78</f>
        <v>0</v>
      </c>
      <c r="AD78" s="677">
        <f t="shared" ref="AD78:AD88" si="54">N78-AC78</f>
        <v>0</v>
      </c>
      <c r="AE78" s="1230">
        <f t="shared" ref="AE78:AE88" si="55">K78-AC78</f>
        <v>0</v>
      </c>
    </row>
    <row r="79" spans="1:31" x14ac:dyDescent="0.25">
      <c r="A79" s="1358" t="s">
        <v>742</v>
      </c>
      <c r="B79" s="630"/>
      <c r="C79" s="113">
        <v>30000</v>
      </c>
      <c r="D79" s="113"/>
      <c r="E79" s="113"/>
      <c r="F79" s="113"/>
      <c r="G79" s="113"/>
      <c r="H79" s="113"/>
      <c r="I79" s="113"/>
      <c r="J79" s="113"/>
      <c r="K79" s="113">
        <f t="shared" ref="K79:K88" si="56">SUM(C79:J79)</f>
        <v>30000</v>
      </c>
      <c r="L79" s="1247">
        <f>K79</f>
        <v>30000</v>
      </c>
      <c r="M79" s="113">
        <f t="shared" ref="M79" si="57">K79</f>
        <v>30000</v>
      </c>
      <c r="N79" s="677">
        <f>K79</f>
        <v>30000</v>
      </c>
      <c r="O79" s="1228"/>
      <c r="P79" s="1228"/>
      <c r="Q79" s="1228"/>
      <c r="R79" s="1228"/>
      <c r="S79" s="1228"/>
      <c r="T79" s="1228"/>
      <c r="U79" s="1228"/>
      <c r="V79" s="1228">
        <v>30000</v>
      </c>
      <c r="W79" s="1228"/>
      <c r="X79" s="1228"/>
      <c r="Y79" s="1228"/>
      <c r="Z79" s="1228"/>
      <c r="AA79" s="1228">
        <f t="shared" si="51"/>
        <v>30000</v>
      </c>
      <c r="AB79" s="1228">
        <f t="shared" si="52"/>
        <v>0</v>
      </c>
      <c r="AC79" s="677">
        <f t="shared" ref="AC79:AC88" si="58">AA79+AB79</f>
        <v>30000</v>
      </c>
      <c r="AD79" s="677">
        <f t="shared" si="54"/>
        <v>0</v>
      </c>
      <c r="AE79" s="1230">
        <f t="shared" si="55"/>
        <v>0</v>
      </c>
    </row>
    <row r="80" spans="1:31" x14ac:dyDescent="0.25">
      <c r="A80" s="630" t="s">
        <v>325</v>
      </c>
      <c r="B80" s="630"/>
      <c r="C80" s="113"/>
      <c r="D80" s="113"/>
      <c r="E80" s="113"/>
      <c r="F80" s="113"/>
      <c r="G80" s="113"/>
      <c r="H80" s="113"/>
      <c r="I80" s="113"/>
      <c r="J80" s="113"/>
      <c r="K80" s="113">
        <f t="shared" si="56"/>
        <v>0</v>
      </c>
      <c r="L80" s="1247">
        <f t="shared" ref="L80:L88" si="59">K80</f>
        <v>0</v>
      </c>
      <c r="M80" s="113">
        <f t="shared" ref="M80:M87" si="60">K80</f>
        <v>0</v>
      </c>
      <c r="N80" s="677">
        <f t="shared" ref="N80:N87" si="61">K80</f>
        <v>0</v>
      </c>
      <c r="O80" s="1228"/>
      <c r="P80" s="1228"/>
      <c r="Q80" s="1228"/>
      <c r="R80" s="1228"/>
      <c r="S80" s="1228"/>
      <c r="T80" s="1228"/>
      <c r="U80" s="1228"/>
      <c r="V80" s="1228"/>
      <c r="W80" s="1228"/>
      <c r="X80" s="1228"/>
      <c r="Y80" s="1228"/>
      <c r="Z80" s="1228"/>
      <c r="AA80" s="1228">
        <f t="shared" si="51"/>
        <v>0</v>
      </c>
      <c r="AB80" s="1228">
        <f t="shared" si="52"/>
        <v>0</v>
      </c>
      <c r="AC80" s="677">
        <f t="shared" si="58"/>
        <v>0</v>
      </c>
      <c r="AD80" s="677">
        <f t="shared" si="54"/>
        <v>0</v>
      </c>
      <c r="AE80" s="1230">
        <f t="shared" si="55"/>
        <v>0</v>
      </c>
    </row>
    <row r="81" spans="1:31" x14ac:dyDescent="0.25">
      <c r="A81" s="1359" t="s">
        <v>1297</v>
      </c>
      <c r="B81" s="1345"/>
      <c r="C81" s="113"/>
      <c r="D81" s="113"/>
      <c r="E81" s="113"/>
      <c r="F81" s="113"/>
      <c r="G81" s="113"/>
      <c r="H81" s="113"/>
      <c r="I81" s="113"/>
      <c r="J81" s="113"/>
      <c r="K81" s="113">
        <f t="shared" si="56"/>
        <v>0</v>
      </c>
      <c r="L81" s="1247">
        <f t="shared" si="59"/>
        <v>0</v>
      </c>
      <c r="M81" s="113">
        <f t="shared" si="60"/>
        <v>0</v>
      </c>
      <c r="N81" s="677">
        <f t="shared" si="61"/>
        <v>0</v>
      </c>
      <c r="O81" s="1228"/>
      <c r="P81" s="1228"/>
      <c r="Q81" s="1228"/>
      <c r="R81" s="1228"/>
      <c r="S81" s="1228"/>
      <c r="T81" s="1228"/>
      <c r="U81" s="1228"/>
      <c r="V81" s="1228"/>
      <c r="W81" s="1228"/>
      <c r="X81" s="1228"/>
      <c r="Y81" s="1228"/>
      <c r="Z81" s="1228"/>
      <c r="AA81" s="1228">
        <f t="shared" si="51"/>
        <v>0</v>
      </c>
      <c r="AB81" s="1228">
        <f t="shared" si="52"/>
        <v>0</v>
      </c>
      <c r="AC81" s="677">
        <f t="shared" si="58"/>
        <v>0</v>
      </c>
      <c r="AD81" s="677">
        <f t="shared" si="54"/>
        <v>0</v>
      </c>
      <c r="AE81" s="1230">
        <f t="shared" si="55"/>
        <v>0</v>
      </c>
    </row>
    <row r="82" spans="1:31" x14ac:dyDescent="0.25">
      <c r="A82" s="1360" t="s">
        <v>1298</v>
      </c>
      <c r="B82" s="1345"/>
      <c r="C82" s="113"/>
      <c r="D82" s="113"/>
      <c r="E82" s="113"/>
      <c r="F82" s="113"/>
      <c r="G82" s="113"/>
      <c r="H82" s="113"/>
      <c r="I82" s="113"/>
      <c r="J82" s="113">
        <v>450000</v>
      </c>
      <c r="K82" s="113">
        <f t="shared" si="56"/>
        <v>450000</v>
      </c>
      <c r="L82" s="1247">
        <f t="shared" si="59"/>
        <v>450000</v>
      </c>
      <c r="M82" s="113">
        <f t="shared" si="60"/>
        <v>450000</v>
      </c>
      <c r="N82" s="677">
        <f t="shared" si="61"/>
        <v>450000</v>
      </c>
      <c r="O82" s="1228"/>
      <c r="P82" s="1228"/>
      <c r="Q82" s="1228"/>
      <c r="R82" s="1228"/>
      <c r="S82" s="1228"/>
      <c r="T82" s="1228"/>
      <c r="U82" s="1228"/>
      <c r="V82" s="1228"/>
      <c r="W82" s="1228">
        <v>217960</v>
      </c>
      <c r="X82" s="1228"/>
      <c r="Y82" s="1228"/>
      <c r="Z82" s="1228"/>
      <c r="AA82" s="1228">
        <f t="shared" si="51"/>
        <v>217960</v>
      </c>
      <c r="AB82" s="1228">
        <f t="shared" si="52"/>
        <v>0</v>
      </c>
      <c r="AC82" s="677">
        <f t="shared" si="58"/>
        <v>217960</v>
      </c>
      <c r="AD82" s="677">
        <f t="shared" si="54"/>
        <v>232040</v>
      </c>
      <c r="AE82" s="1230">
        <f t="shared" si="55"/>
        <v>232040</v>
      </c>
    </row>
    <row r="83" spans="1:31" ht="47.25" customHeight="1" x14ac:dyDescent="0.25">
      <c r="A83" s="1361" t="s">
        <v>1382</v>
      </c>
      <c r="B83" s="1345" t="s">
        <v>654</v>
      </c>
      <c r="C83" s="113"/>
      <c r="D83" s="113"/>
      <c r="E83" s="113">
        <v>180000</v>
      </c>
      <c r="F83" s="113"/>
      <c r="G83" s="113"/>
      <c r="H83" s="113"/>
      <c r="I83" s="113"/>
      <c r="J83" s="113"/>
      <c r="K83" s="113">
        <f t="shared" si="56"/>
        <v>180000</v>
      </c>
      <c r="L83" s="1247"/>
      <c r="M83" s="113">
        <f t="shared" si="60"/>
        <v>180000</v>
      </c>
      <c r="N83" s="677">
        <f t="shared" si="61"/>
        <v>180000</v>
      </c>
      <c r="O83" s="1228"/>
      <c r="P83" s="1228"/>
      <c r="Q83" s="1228"/>
      <c r="R83" s="1228"/>
      <c r="S83" s="1228"/>
      <c r="T83" s="1228"/>
      <c r="U83" s="1228"/>
      <c r="V83" s="1228"/>
      <c r="W83" s="1228"/>
      <c r="X83" s="1228"/>
      <c r="Y83" s="1228"/>
      <c r="Z83" s="1228"/>
      <c r="AA83" s="1228">
        <f t="shared" si="51"/>
        <v>0</v>
      </c>
      <c r="AB83" s="1228">
        <f t="shared" si="52"/>
        <v>0</v>
      </c>
      <c r="AC83" s="677">
        <f t="shared" si="58"/>
        <v>0</v>
      </c>
      <c r="AD83" s="677">
        <f t="shared" si="54"/>
        <v>180000</v>
      </c>
      <c r="AE83" s="1230">
        <f t="shared" si="55"/>
        <v>180000</v>
      </c>
    </row>
    <row r="84" spans="1:31" x14ac:dyDescent="0.25">
      <c r="A84" s="1359" t="s">
        <v>429</v>
      </c>
      <c r="B84" s="1345"/>
      <c r="C84" s="113"/>
      <c r="D84" s="113"/>
      <c r="E84" s="113"/>
      <c r="F84" s="113"/>
      <c r="G84" s="113"/>
      <c r="H84" s="113"/>
      <c r="I84" s="113"/>
      <c r="J84" s="113"/>
      <c r="K84" s="113">
        <f t="shared" si="56"/>
        <v>0</v>
      </c>
      <c r="L84" s="1247">
        <f t="shared" si="59"/>
        <v>0</v>
      </c>
      <c r="M84" s="113">
        <f t="shared" si="60"/>
        <v>0</v>
      </c>
      <c r="N84" s="677">
        <f t="shared" si="61"/>
        <v>0</v>
      </c>
      <c r="O84" s="1228"/>
      <c r="P84" s="1228"/>
      <c r="Q84" s="1228"/>
      <c r="R84" s="1228"/>
      <c r="S84" s="1228"/>
      <c r="T84" s="1228"/>
      <c r="U84" s="1228"/>
      <c r="V84" s="1228"/>
      <c r="W84" s="1228"/>
      <c r="X84" s="1228"/>
      <c r="Y84" s="1228"/>
      <c r="Z84" s="1228"/>
      <c r="AA84" s="1228">
        <f t="shared" si="51"/>
        <v>0</v>
      </c>
      <c r="AB84" s="1228">
        <f t="shared" si="52"/>
        <v>0</v>
      </c>
      <c r="AC84" s="677">
        <f t="shared" si="58"/>
        <v>0</v>
      </c>
      <c r="AD84" s="677">
        <f t="shared" si="54"/>
        <v>0</v>
      </c>
      <c r="AE84" s="1230">
        <f t="shared" si="55"/>
        <v>0</v>
      </c>
    </row>
    <row r="85" spans="1:31" x14ac:dyDescent="0.25">
      <c r="A85" s="1360" t="s">
        <v>1299</v>
      </c>
      <c r="B85" s="1345"/>
      <c r="C85" s="113"/>
      <c r="D85" s="113"/>
      <c r="E85" s="113"/>
      <c r="F85" s="113"/>
      <c r="G85" s="113"/>
      <c r="H85" s="113"/>
      <c r="I85" s="113"/>
      <c r="J85" s="113">
        <v>250000</v>
      </c>
      <c r="K85" s="113">
        <f t="shared" si="56"/>
        <v>250000</v>
      </c>
      <c r="L85" s="1247">
        <f t="shared" si="59"/>
        <v>250000</v>
      </c>
      <c r="M85" s="113">
        <f t="shared" si="60"/>
        <v>250000</v>
      </c>
      <c r="N85" s="677">
        <f t="shared" si="61"/>
        <v>250000</v>
      </c>
      <c r="O85" s="1228"/>
      <c r="P85" s="1228"/>
      <c r="Q85" s="1228"/>
      <c r="R85" s="1228"/>
      <c r="S85" s="1228"/>
      <c r="T85" s="1228"/>
      <c r="U85" s="1228"/>
      <c r="V85" s="1228"/>
      <c r="W85" s="1228">
        <f>164400</f>
        <v>164400</v>
      </c>
      <c r="X85" s="1228">
        <v>85500</v>
      </c>
      <c r="Y85" s="1228"/>
      <c r="Z85" s="1228"/>
      <c r="AA85" s="1228">
        <f t="shared" si="51"/>
        <v>164400</v>
      </c>
      <c r="AB85" s="1228">
        <f t="shared" si="52"/>
        <v>85500</v>
      </c>
      <c r="AC85" s="677">
        <f t="shared" si="58"/>
        <v>249900</v>
      </c>
      <c r="AD85" s="677">
        <f t="shared" si="54"/>
        <v>100</v>
      </c>
      <c r="AE85" s="1230">
        <f t="shared" si="55"/>
        <v>100</v>
      </c>
    </row>
    <row r="86" spans="1:31" x14ac:dyDescent="0.25">
      <c r="A86" s="1362" t="s">
        <v>1300</v>
      </c>
      <c r="B86" s="1345"/>
      <c r="C86" s="113"/>
      <c r="D86" s="113"/>
      <c r="E86" s="113"/>
      <c r="F86" s="113"/>
      <c r="G86" s="113"/>
      <c r="H86" s="113"/>
      <c r="I86" s="113"/>
      <c r="J86" s="113">
        <v>500000</v>
      </c>
      <c r="K86" s="113">
        <f t="shared" si="56"/>
        <v>500000</v>
      </c>
      <c r="L86" s="1247">
        <f t="shared" si="59"/>
        <v>500000</v>
      </c>
      <c r="M86" s="113">
        <f t="shared" si="60"/>
        <v>500000</v>
      </c>
      <c r="N86" s="677">
        <f t="shared" si="61"/>
        <v>500000</v>
      </c>
      <c r="O86" s="1228"/>
      <c r="P86" s="1228"/>
      <c r="Q86" s="1228"/>
      <c r="R86" s="1228"/>
      <c r="S86" s="1228"/>
      <c r="T86" s="1228"/>
      <c r="U86" s="1228"/>
      <c r="V86" s="1228"/>
      <c r="W86" s="1228">
        <f>360640</f>
        <v>360640</v>
      </c>
      <c r="X86" s="1228">
        <v>138900</v>
      </c>
      <c r="Y86" s="1228"/>
      <c r="Z86" s="1228"/>
      <c r="AA86" s="1228">
        <f t="shared" si="51"/>
        <v>360640</v>
      </c>
      <c r="AB86" s="1228">
        <f t="shared" si="52"/>
        <v>138900</v>
      </c>
      <c r="AC86" s="677">
        <f t="shared" si="58"/>
        <v>499540</v>
      </c>
      <c r="AD86" s="677">
        <f t="shared" si="54"/>
        <v>460</v>
      </c>
      <c r="AE86" s="1230">
        <f t="shared" si="55"/>
        <v>460</v>
      </c>
    </row>
    <row r="87" spans="1:31" x14ac:dyDescent="0.25">
      <c r="A87" s="1362" t="s">
        <v>302</v>
      </c>
      <c r="B87" s="1345"/>
      <c r="C87" s="113"/>
      <c r="D87" s="113"/>
      <c r="E87" s="113"/>
      <c r="F87" s="113"/>
      <c r="G87" s="113">
        <f>-150000</f>
        <v>-150000</v>
      </c>
      <c r="H87" s="113"/>
      <c r="I87" s="113"/>
      <c r="J87" s="113">
        <v>200000</v>
      </c>
      <c r="K87" s="113">
        <f t="shared" si="56"/>
        <v>50000</v>
      </c>
      <c r="L87" s="1247">
        <f t="shared" si="59"/>
        <v>50000</v>
      </c>
      <c r="M87" s="113">
        <f t="shared" si="60"/>
        <v>50000</v>
      </c>
      <c r="N87" s="677">
        <f t="shared" si="61"/>
        <v>50000</v>
      </c>
      <c r="O87" s="1228"/>
      <c r="P87" s="1228"/>
      <c r="Q87" s="1228"/>
      <c r="R87" s="1228"/>
      <c r="S87" s="1228"/>
      <c r="T87" s="1228"/>
      <c r="U87" s="1228"/>
      <c r="V87" s="1228">
        <v>43690</v>
      </c>
      <c r="W87" s="1228"/>
      <c r="X87" s="1228"/>
      <c r="Y87" s="1228"/>
      <c r="Z87" s="1228"/>
      <c r="AA87" s="1228">
        <f t="shared" si="51"/>
        <v>43690</v>
      </c>
      <c r="AB87" s="1228">
        <f t="shared" si="52"/>
        <v>0</v>
      </c>
      <c r="AC87" s="677">
        <f t="shared" si="58"/>
        <v>43690</v>
      </c>
      <c r="AD87" s="677">
        <f t="shared" si="54"/>
        <v>6310</v>
      </c>
      <c r="AE87" s="1230">
        <f t="shared" si="55"/>
        <v>6310</v>
      </c>
    </row>
    <row r="88" spans="1:31" x14ac:dyDescent="0.25">
      <c r="A88" s="1352"/>
      <c r="B88" s="1345"/>
      <c r="C88" s="113"/>
      <c r="D88" s="113"/>
      <c r="E88" s="113"/>
      <c r="F88" s="113"/>
      <c r="G88" s="113"/>
      <c r="H88" s="113"/>
      <c r="I88" s="113"/>
      <c r="J88" s="113"/>
      <c r="K88" s="113">
        <f t="shared" si="56"/>
        <v>0</v>
      </c>
      <c r="L88" s="1247">
        <f t="shared" si="59"/>
        <v>0</v>
      </c>
      <c r="M88" s="113"/>
      <c r="N88" s="677"/>
      <c r="O88" s="1228"/>
      <c r="P88" s="1228"/>
      <c r="Q88" s="1228"/>
      <c r="R88" s="1228"/>
      <c r="S88" s="1228"/>
      <c r="T88" s="1228"/>
      <c r="U88" s="1228"/>
      <c r="V88" s="1228"/>
      <c r="W88" s="1228"/>
      <c r="X88" s="1228"/>
      <c r="Y88" s="1228"/>
      <c r="Z88" s="1228"/>
      <c r="AA88" s="1228">
        <f t="shared" si="51"/>
        <v>0</v>
      </c>
      <c r="AB88" s="1228">
        <f t="shared" si="52"/>
        <v>0</v>
      </c>
      <c r="AC88" s="677">
        <f t="shared" si="58"/>
        <v>0</v>
      </c>
      <c r="AD88" s="677">
        <f t="shared" si="54"/>
        <v>0</v>
      </c>
      <c r="AE88" s="1230">
        <f t="shared" si="55"/>
        <v>0</v>
      </c>
    </row>
    <row r="89" spans="1:31" x14ac:dyDescent="0.25">
      <c r="A89" s="630" t="s">
        <v>328</v>
      </c>
      <c r="B89" s="614"/>
      <c r="C89" s="614">
        <f t="shared" ref="C89:E89" si="62">SUM(C78:C88)</f>
        <v>30000</v>
      </c>
      <c r="D89" s="614">
        <f t="shared" ref="D89" si="63">SUM(D78:D88)</f>
        <v>0</v>
      </c>
      <c r="E89" s="614">
        <f t="shared" si="62"/>
        <v>180000</v>
      </c>
      <c r="F89" s="614">
        <f t="shared" ref="F89:AE89" si="64">SUM(F78:F88)</f>
        <v>0</v>
      </c>
      <c r="G89" s="614">
        <f t="shared" ref="G89:I89" si="65">SUM(G78:G88)</f>
        <v>-150000</v>
      </c>
      <c r="H89" s="614">
        <f t="shared" ref="H89" si="66">SUM(H78:H88)</f>
        <v>0</v>
      </c>
      <c r="I89" s="614">
        <f t="shared" si="65"/>
        <v>0</v>
      </c>
      <c r="J89" s="614">
        <f t="shared" si="64"/>
        <v>1400000</v>
      </c>
      <c r="K89" s="614">
        <f t="shared" si="64"/>
        <v>1460000</v>
      </c>
      <c r="L89" s="614">
        <f t="shared" si="64"/>
        <v>1280000</v>
      </c>
      <c r="M89" s="614">
        <f t="shared" si="64"/>
        <v>1460000</v>
      </c>
      <c r="N89" s="614">
        <f t="shared" si="64"/>
        <v>1460000</v>
      </c>
      <c r="O89" s="614">
        <f t="shared" si="64"/>
        <v>0</v>
      </c>
      <c r="P89" s="614">
        <f t="shared" si="64"/>
        <v>0</v>
      </c>
      <c r="Q89" s="614">
        <f t="shared" si="64"/>
        <v>0</v>
      </c>
      <c r="R89" s="614">
        <f t="shared" si="64"/>
        <v>0</v>
      </c>
      <c r="S89" s="614">
        <f t="shared" si="64"/>
        <v>0</v>
      </c>
      <c r="T89" s="614">
        <f t="shared" si="64"/>
        <v>0</v>
      </c>
      <c r="U89" s="614">
        <f t="shared" si="64"/>
        <v>0</v>
      </c>
      <c r="V89" s="614">
        <f t="shared" si="64"/>
        <v>73690</v>
      </c>
      <c r="W89" s="614">
        <f t="shared" si="64"/>
        <v>743000</v>
      </c>
      <c r="X89" s="614">
        <f t="shared" si="64"/>
        <v>224400</v>
      </c>
      <c r="Y89" s="614">
        <f t="shared" si="64"/>
        <v>0</v>
      </c>
      <c r="Z89" s="614">
        <f t="shared" si="64"/>
        <v>0</v>
      </c>
      <c r="AA89" s="614">
        <f t="shared" si="64"/>
        <v>816690</v>
      </c>
      <c r="AB89" s="614">
        <f t="shared" si="64"/>
        <v>224400</v>
      </c>
      <c r="AC89" s="614">
        <f t="shared" si="64"/>
        <v>1041090</v>
      </c>
      <c r="AD89" s="614">
        <f t="shared" si="64"/>
        <v>418910</v>
      </c>
      <c r="AE89" s="614">
        <f t="shared" si="64"/>
        <v>418910</v>
      </c>
    </row>
    <row r="90" spans="1:31" x14ac:dyDescent="0.25">
      <c r="A90" s="630" t="s">
        <v>235</v>
      </c>
      <c r="B90" s="614"/>
      <c r="C90" s="614">
        <f t="shared" ref="C90:E90" si="67">C76+C89</f>
        <v>529422</v>
      </c>
      <c r="D90" s="614">
        <f t="shared" ref="D90" si="68">D76+D89</f>
        <v>0</v>
      </c>
      <c r="E90" s="614">
        <f t="shared" si="67"/>
        <v>180000</v>
      </c>
      <c r="F90" s="614">
        <f t="shared" ref="F90:AE90" si="69">F76+F89</f>
        <v>0</v>
      </c>
      <c r="G90" s="614">
        <f t="shared" ref="G90:I90" si="70">G76+G89</f>
        <v>0</v>
      </c>
      <c r="H90" s="614">
        <f t="shared" ref="H90" si="71">H76+H89</f>
        <v>0</v>
      </c>
      <c r="I90" s="614">
        <f t="shared" si="70"/>
        <v>0</v>
      </c>
      <c r="J90" s="614">
        <f t="shared" si="69"/>
        <v>1400000</v>
      </c>
      <c r="K90" s="614">
        <f t="shared" si="69"/>
        <v>2109422</v>
      </c>
      <c r="L90" s="614">
        <f t="shared" si="69"/>
        <v>1929422</v>
      </c>
      <c r="M90" s="614">
        <f t="shared" si="69"/>
        <v>2109422</v>
      </c>
      <c r="N90" s="614">
        <f t="shared" si="69"/>
        <v>2109422</v>
      </c>
      <c r="O90" s="614">
        <f t="shared" si="69"/>
        <v>110500</v>
      </c>
      <c r="P90" s="614">
        <f t="shared" si="69"/>
        <v>102000</v>
      </c>
      <c r="Q90" s="614">
        <f t="shared" si="69"/>
        <v>250250</v>
      </c>
      <c r="R90" s="614">
        <f t="shared" si="69"/>
        <v>0</v>
      </c>
      <c r="S90" s="614">
        <f t="shared" si="69"/>
        <v>0</v>
      </c>
      <c r="T90" s="614">
        <f t="shared" si="69"/>
        <v>0</v>
      </c>
      <c r="U90" s="614">
        <f t="shared" si="69"/>
        <v>0</v>
      </c>
      <c r="V90" s="614">
        <f t="shared" si="69"/>
        <v>73690</v>
      </c>
      <c r="W90" s="614">
        <f t="shared" si="69"/>
        <v>927254</v>
      </c>
      <c r="X90" s="614">
        <f t="shared" si="69"/>
        <v>224400</v>
      </c>
      <c r="Y90" s="614">
        <f t="shared" si="69"/>
        <v>0</v>
      </c>
      <c r="Z90" s="614">
        <f t="shared" si="69"/>
        <v>0</v>
      </c>
      <c r="AA90" s="614">
        <f t="shared" si="69"/>
        <v>1463694</v>
      </c>
      <c r="AB90" s="614">
        <f t="shared" si="69"/>
        <v>224400</v>
      </c>
      <c r="AC90" s="614">
        <f t="shared" si="69"/>
        <v>1688094</v>
      </c>
      <c r="AD90" s="614">
        <f t="shared" si="69"/>
        <v>421328</v>
      </c>
      <c r="AE90" s="614">
        <f t="shared" si="69"/>
        <v>421328</v>
      </c>
    </row>
    <row r="91" spans="1:31" ht="15.75" thickBot="1" x14ac:dyDescent="0.3">
      <c r="A91" s="616" t="s">
        <v>160</v>
      </c>
      <c r="B91" s="633"/>
      <c r="C91" s="634">
        <f t="shared" ref="C91:E91" si="72">C29+C69+C90</f>
        <v>6396156.46</v>
      </c>
      <c r="D91" s="634">
        <f t="shared" ref="D91" si="73">D29+D69+D90</f>
        <v>60000</v>
      </c>
      <c r="E91" s="634">
        <f t="shared" si="72"/>
        <v>156364.17000000001</v>
      </c>
      <c r="F91" s="634">
        <f t="shared" ref="F91:AE91" si="74">F29+F69+F90</f>
        <v>-43271.659999999996</v>
      </c>
      <c r="G91" s="634">
        <f t="shared" ref="G91:I91" si="75">G29+G69+G90</f>
        <v>0</v>
      </c>
      <c r="H91" s="634">
        <f t="shared" ref="H91" si="76">H29+H69+H90</f>
        <v>5060</v>
      </c>
      <c r="I91" s="634">
        <f t="shared" si="75"/>
        <v>-75998.720000000001</v>
      </c>
      <c r="J91" s="634">
        <f t="shared" si="74"/>
        <v>1600000</v>
      </c>
      <c r="K91" s="634">
        <f t="shared" si="74"/>
        <v>8098310.25</v>
      </c>
      <c r="L91" s="634">
        <f t="shared" si="74"/>
        <v>6431088.1875</v>
      </c>
      <c r="M91" s="634">
        <f t="shared" si="74"/>
        <v>2608496.0208333335</v>
      </c>
      <c r="N91" s="634">
        <f t="shared" si="74"/>
        <v>6943495.541666666</v>
      </c>
      <c r="O91" s="634">
        <f t="shared" si="74"/>
        <v>425691.75999999995</v>
      </c>
      <c r="P91" s="634">
        <f t="shared" si="74"/>
        <v>418104.07</v>
      </c>
      <c r="Q91" s="634">
        <f t="shared" si="74"/>
        <v>716149.99</v>
      </c>
      <c r="R91" s="634">
        <f t="shared" si="74"/>
        <v>332601.46000000002</v>
      </c>
      <c r="S91" s="634">
        <f t="shared" si="74"/>
        <v>542153.59000000008</v>
      </c>
      <c r="T91" s="634">
        <f t="shared" si="74"/>
        <v>340331.95999999996</v>
      </c>
      <c r="U91" s="634">
        <f t="shared" si="74"/>
        <v>334625.52</v>
      </c>
      <c r="V91" s="634">
        <f t="shared" si="74"/>
        <v>542187.75</v>
      </c>
      <c r="W91" s="634">
        <f t="shared" si="74"/>
        <v>1332952.1599999999</v>
      </c>
      <c r="X91" s="634">
        <f t="shared" si="74"/>
        <v>781890.31</v>
      </c>
      <c r="Y91" s="634">
        <f t="shared" si="74"/>
        <v>0</v>
      </c>
      <c r="Z91" s="634">
        <f t="shared" si="74"/>
        <v>0</v>
      </c>
      <c r="AA91" s="634">
        <f t="shared" si="74"/>
        <v>4984798.2600000007</v>
      </c>
      <c r="AB91" s="634">
        <f t="shared" si="74"/>
        <v>781890.31</v>
      </c>
      <c r="AC91" s="634">
        <f t="shared" si="74"/>
        <v>5766688.5700000003</v>
      </c>
      <c r="AD91" s="634">
        <f t="shared" si="74"/>
        <v>1176806.9716666667</v>
      </c>
      <c r="AE91" s="634">
        <f t="shared" si="74"/>
        <v>2331621.6800000002</v>
      </c>
    </row>
    <row r="92" spans="1:31" ht="15.75" thickTop="1" x14ac:dyDescent="0.25"/>
    <row r="93" spans="1:31" x14ac:dyDescent="0.25">
      <c r="A93" s="1090" t="s">
        <v>354</v>
      </c>
      <c r="B93" s="1363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AD93" s="1364" t="s">
        <v>357</v>
      </c>
    </row>
    <row r="95" spans="1:31" x14ac:dyDescent="0.25">
      <c r="B95" s="1365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</row>
    <row r="96" spans="1:31" x14ac:dyDescent="0.25">
      <c r="A96" s="1366" t="s">
        <v>355</v>
      </c>
      <c r="B96" s="1367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AD96" s="1368" t="s">
        <v>358</v>
      </c>
    </row>
    <row r="97" spans="1:31" x14ac:dyDescent="0.25">
      <c r="A97" s="1364" t="s">
        <v>356</v>
      </c>
      <c r="AD97" s="1364" t="s">
        <v>359</v>
      </c>
    </row>
    <row r="98" spans="1:31" x14ac:dyDescent="0.25">
      <c r="A98" s="1443" t="s">
        <v>352</v>
      </c>
      <c r="B98" s="1443"/>
      <c r="C98" s="1443"/>
      <c r="D98" s="1443"/>
      <c r="E98" s="1443"/>
      <c r="F98" s="1443"/>
      <c r="G98" s="1443"/>
      <c r="H98" s="1443"/>
      <c r="I98" s="1443"/>
      <c r="J98" s="1443"/>
      <c r="K98" s="1443"/>
      <c r="L98" s="1443"/>
      <c r="M98" s="1443"/>
      <c r="N98" s="1443"/>
      <c r="O98" s="1443"/>
      <c r="P98" s="1443"/>
      <c r="Q98" s="1443"/>
      <c r="R98" s="1443"/>
      <c r="S98" s="1443"/>
      <c r="T98" s="1443"/>
      <c r="U98" s="1443"/>
      <c r="V98" s="1443"/>
      <c r="W98" s="1443"/>
      <c r="X98" s="1443"/>
      <c r="Y98" s="1443"/>
      <c r="Z98" s="1443"/>
      <c r="AA98" s="1443"/>
      <c r="AB98" s="1443"/>
      <c r="AC98" s="1443"/>
      <c r="AD98" s="1443"/>
      <c r="AE98" s="1443"/>
    </row>
    <row r="99" spans="1:31" x14ac:dyDescent="0.25">
      <c r="A99" s="1443" t="s">
        <v>353</v>
      </c>
      <c r="B99" s="1443"/>
      <c r="C99" s="1443"/>
      <c r="D99" s="1443"/>
      <c r="E99" s="1443"/>
      <c r="F99" s="1443"/>
      <c r="G99" s="1443"/>
      <c r="H99" s="1443"/>
      <c r="I99" s="1443"/>
      <c r="J99" s="1443"/>
      <c r="K99" s="1443"/>
      <c r="L99" s="1443"/>
      <c r="M99" s="1443"/>
      <c r="N99" s="1443"/>
      <c r="O99" s="1443"/>
      <c r="P99" s="1443"/>
      <c r="Q99" s="1443"/>
      <c r="R99" s="1443"/>
      <c r="S99" s="1443"/>
      <c r="T99" s="1443"/>
      <c r="U99" s="1443"/>
      <c r="V99" s="1443"/>
      <c r="W99" s="1443"/>
      <c r="X99" s="1443"/>
      <c r="Y99" s="1443"/>
      <c r="Z99" s="1443"/>
      <c r="AA99" s="1443"/>
      <c r="AB99" s="1443"/>
      <c r="AC99" s="1443"/>
      <c r="AD99" s="1443"/>
      <c r="AE99" s="1443"/>
    </row>
    <row r="100" spans="1:31" ht="15.75" thickBot="1" x14ac:dyDescent="0.3">
      <c r="A100" s="1442" t="str">
        <f>A3</f>
        <v>For the Period October 1-31, 2021</v>
      </c>
      <c r="B100" s="1442"/>
      <c r="C100" s="1442"/>
      <c r="D100" s="1442"/>
      <c r="E100" s="1442"/>
      <c r="F100" s="1442"/>
      <c r="G100" s="1442"/>
      <c r="H100" s="1442"/>
      <c r="I100" s="1442"/>
      <c r="J100" s="1442"/>
      <c r="K100" s="1442"/>
      <c r="L100" s="1442"/>
      <c r="M100" s="1442"/>
      <c r="N100" s="1442"/>
      <c r="O100" s="1442"/>
      <c r="P100" s="1442"/>
      <c r="Q100" s="1442"/>
      <c r="R100" s="1442"/>
      <c r="S100" s="1442"/>
      <c r="T100" s="1442"/>
      <c r="U100" s="1442"/>
      <c r="V100" s="1442"/>
      <c r="W100" s="1442"/>
      <c r="X100" s="1442"/>
      <c r="Y100" s="1442"/>
      <c r="Z100" s="1442"/>
      <c r="AA100" s="1442"/>
      <c r="AB100" s="1442"/>
      <c r="AC100" s="1442"/>
      <c r="AD100" s="1442"/>
      <c r="AE100" s="1442"/>
    </row>
    <row r="101" spans="1:31" ht="15.75" thickTop="1" x14ac:dyDescent="0.25">
      <c r="A101" s="1369" t="s">
        <v>270</v>
      </c>
    </row>
    <row r="102" spans="1:31" ht="26.25" x14ac:dyDescent="0.25">
      <c r="A102" s="1370" t="s">
        <v>347</v>
      </c>
      <c r="B102" s="1044" t="s">
        <v>2</v>
      </c>
      <c r="C102" s="1044" t="s">
        <v>133</v>
      </c>
      <c r="D102" s="1335" t="s">
        <v>1392</v>
      </c>
      <c r="E102" s="1044" t="s">
        <v>1374</v>
      </c>
      <c r="F102" s="1044" t="s">
        <v>1324</v>
      </c>
      <c r="G102" s="1335" t="s">
        <v>1334</v>
      </c>
      <c r="H102" s="1335" t="s">
        <v>1205</v>
      </c>
      <c r="I102" s="1335" t="s">
        <v>1338</v>
      </c>
      <c r="J102" s="1044" t="s">
        <v>1227</v>
      </c>
      <c r="K102" s="1044" t="s">
        <v>1</v>
      </c>
      <c r="L102" s="1044" t="s">
        <v>316</v>
      </c>
      <c r="M102" s="1044" t="s">
        <v>314</v>
      </c>
      <c r="N102" s="318" t="s">
        <v>346</v>
      </c>
      <c r="O102" s="1340"/>
      <c r="P102" s="1340"/>
      <c r="Q102" s="1340"/>
      <c r="R102" s="1340"/>
      <c r="S102" s="170"/>
      <c r="T102" s="170"/>
      <c r="U102" s="170"/>
      <c r="V102" s="170"/>
      <c r="W102" s="170"/>
      <c r="X102" s="170"/>
      <c r="Y102" s="170"/>
      <c r="Z102" s="170"/>
      <c r="AA102" s="318" t="s">
        <v>316</v>
      </c>
      <c r="AB102" s="318" t="s">
        <v>348</v>
      </c>
      <c r="AC102" s="318" t="s">
        <v>1</v>
      </c>
      <c r="AD102" s="318" t="s">
        <v>131</v>
      </c>
      <c r="AE102" s="318" t="s">
        <v>131</v>
      </c>
    </row>
    <row r="103" spans="1:31" ht="15.75" thickBot="1" x14ac:dyDescent="0.3">
      <c r="A103" s="1317"/>
      <c r="B103" s="1371" t="s">
        <v>3</v>
      </c>
      <c r="C103" s="1371" t="s">
        <v>134</v>
      </c>
      <c r="D103" s="1337">
        <v>44473</v>
      </c>
      <c r="E103" s="1337">
        <v>44459</v>
      </c>
      <c r="F103" s="1044" t="s">
        <v>1326</v>
      </c>
      <c r="G103" s="1337">
        <v>44403</v>
      </c>
      <c r="H103" s="1337" t="s">
        <v>1354</v>
      </c>
      <c r="I103" s="1337" t="s">
        <v>1342</v>
      </c>
      <c r="J103" s="1337">
        <v>44305</v>
      </c>
      <c r="K103" s="1371" t="s">
        <v>314</v>
      </c>
      <c r="L103" s="1371" t="s">
        <v>314</v>
      </c>
      <c r="M103" s="1371" t="s">
        <v>315</v>
      </c>
      <c r="N103" s="752" t="s">
        <v>315</v>
      </c>
      <c r="O103" s="1339" t="s">
        <v>0</v>
      </c>
      <c r="P103" s="1339" t="s">
        <v>120</v>
      </c>
      <c r="Q103" s="1339" t="s">
        <v>121</v>
      </c>
      <c r="R103" s="1339" t="s">
        <v>122</v>
      </c>
      <c r="S103" s="1339" t="s">
        <v>123</v>
      </c>
      <c r="T103" s="1339" t="s">
        <v>124</v>
      </c>
      <c r="U103" s="1339" t="s">
        <v>125</v>
      </c>
      <c r="V103" s="1339" t="s">
        <v>126</v>
      </c>
      <c r="W103" s="1339" t="s">
        <v>127</v>
      </c>
      <c r="X103" s="1339" t="s">
        <v>128</v>
      </c>
      <c r="Y103" s="1339" t="s">
        <v>129</v>
      </c>
      <c r="Z103" s="1339" t="s">
        <v>130</v>
      </c>
      <c r="AA103" s="752" t="s">
        <v>317</v>
      </c>
      <c r="AB103" s="752" t="s">
        <v>315</v>
      </c>
      <c r="AC103" s="1308" t="s">
        <v>317</v>
      </c>
      <c r="AD103" s="1308" t="s">
        <v>314</v>
      </c>
      <c r="AE103" s="1308" t="s">
        <v>132</v>
      </c>
    </row>
    <row r="104" spans="1:31" ht="15.75" thickTop="1" x14ac:dyDescent="0.25">
      <c r="A104" s="1372" t="s">
        <v>700</v>
      </c>
      <c r="B104" s="1341"/>
      <c r="C104" s="1341"/>
      <c r="D104" s="1341"/>
      <c r="E104" s="1341"/>
      <c r="F104" s="1341"/>
      <c r="G104" s="1341"/>
      <c r="H104" s="1341"/>
      <c r="I104" s="1341"/>
      <c r="J104" s="1341"/>
      <c r="K104" s="1341"/>
      <c r="L104" s="1341"/>
      <c r="M104" s="1341"/>
      <c r="N104" s="1341"/>
      <c r="O104" s="1342"/>
      <c r="P104" s="1342"/>
      <c r="Q104" s="1342"/>
      <c r="R104" s="1342"/>
      <c r="S104" s="1342"/>
      <c r="T104" s="1342"/>
      <c r="U104" s="1342"/>
      <c r="V104" s="1342"/>
      <c r="W104" s="1342"/>
      <c r="X104" s="1342"/>
      <c r="Y104" s="1342"/>
      <c r="Z104" s="1342"/>
      <c r="AA104" s="1342"/>
      <c r="AB104" s="1341"/>
      <c r="AC104" s="1341"/>
      <c r="AD104" s="1341"/>
      <c r="AE104" s="1341"/>
    </row>
    <row r="105" spans="1:31" x14ac:dyDescent="0.25">
      <c r="A105" s="1373" t="s">
        <v>269</v>
      </c>
      <c r="B105" s="735"/>
      <c r="C105" s="677"/>
      <c r="D105" s="677"/>
      <c r="E105" s="677"/>
      <c r="F105" s="677"/>
      <c r="G105" s="677"/>
      <c r="H105" s="677"/>
      <c r="I105" s="677"/>
      <c r="J105" s="677"/>
      <c r="K105" s="113">
        <f t="shared" ref="K105:K106" si="77">SUM(C105)</f>
        <v>0</v>
      </c>
      <c r="L105" s="113">
        <f t="shared" ref="L105" si="78">K105/12*7</f>
        <v>0</v>
      </c>
      <c r="M105" s="113">
        <f t="shared" ref="M105" si="79">K105/12</f>
        <v>0</v>
      </c>
      <c r="N105" s="677">
        <f t="shared" ref="N105" si="80">L105+M105</f>
        <v>0</v>
      </c>
      <c r="O105" s="1303"/>
      <c r="P105" s="1228"/>
      <c r="Q105" s="1228"/>
      <c r="R105" s="1228"/>
      <c r="S105" s="1228"/>
      <c r="T105" s="1228"/>
      <c r="U105" s="1228"/>
      <c r="V105" s="1228"/>
      <c r="W105" s="1228"/>
      <c r="X105" s="1228"/>
      <c r="Y105" s="1228"/>
      <c r="Z105" s="1228"/>
      <c r="AA105" s="1228">
        <f t="shared" ref="AA105:AA136" si="81">O105+P105+Q105+R105+S105+T105+U105+V105+W105</f>
        <v>0</v>
      </c>
      <c r="AB105" s="1228">
        <f t="shared" ref="AB105:AB136" si="82">X105</f>
        <v>0</v>
      </c>
      <c r="AC105" s="677">
        <f t="shared" ref="AC105:AC107" si="83">AA105+AB105</f>
        <v>0</v>
      </c>
      <c r="AD105" s="677">
        <f t="shared" ref="AD105:AD136" si="84">N105-AC105</f>
        <v>0</v>
      </c>
      <c r="AE105" s="1230">
        <f t="shared" ref="AE105:AE136" si="85">K105-AC105</f>
        <v>0</v>
      </c>
    </row>
    <row r="106" spans="1:31" x14ac:dyDescent="0.25">
      <c r="A106" s="635" t="s">
        <v>858</v>
      </c>
      <c r="B106" s="735"/>
      <c r="C106" s="677"/>
      <c r="D106" s="677"/>
      <c r="E106" s="677"/>
      <c r="F106" s="677"/>
      <c r="G106" s="677"/>
      <c r="H106" s="677"/>
      <c r="I106" s="677"/>
      <c r="J106" s="677"/>
      <c r="K106" s="113">
        <f t="shared" si="77"/>
        <v>0</v>
      </c>
      <c r="L106" s="113">
        <f t="shared" ref="L106:L136" si="86">K106/12*8</f>
        <v>0</v>
      </c>
      <c r="M106" s="113">
        <f t="shared" ref="M106:M128" si="87">K106/12</f>
        <v>0</v>
      </c>
      <c r="N106" s="677">
        <f t="shared" ref="N106:N128" si="88">L106+M106</f>
        <v>0</v>
      </c>
      <c r="O106" s="1303"/>
      <c r="P106" s="1228"/>
      <c r="Q106" s="1228"/>
      <c r="R106" s="1228"/>
      <c r="S106" s="1228"/>
      <c r="T106" s="1228"/>
      <c r="U106" s="1228"/>
      <c r="V106" s="1228"/>
      <c r="W106" s="1228"/>
      <c r="X106" s="1228"/>
      <c r="Y106" s="1228"/>
      <c r="Z106" s="1228"/>
      <c r="AA106" s="1228">
        <f t="shared" si="81"/>
        <v>0</v>
      </c>
      <c r="AB106" s="1228">
        <f t="shared" si="82"/>
        <v>0</v>
      </c>
      <c r="AC106" s="677">
        <f t="shared" si="83"/>
        <v>0</v>
      </c>
      <c r="AD106" s="677">
        <f t="shared" si="84"/>
        <v>0</v>
      </c>
      <c r="AE106" s="1230">
        <f t="shared" si="85"/>
        <v>0</v>
      </c>
    </row>
    <row r="107" spans="1:31" x14ac:dyDescent="0.25">
      <c r="A107" s="1374" t="s">
        <v>139</v>
      </c>
      <c r="B107" s="637" t="s">
        <v>43</v>
      </c>
      <c r="C107" s="232">
        <v>15000</v>
      </c>
      <c r="D107" s="232"/>
      <c r="E107" s="232"/>
      <c r="F107" s="232"/>
      <c r="G107" s="232"/>
      <c r="H107" s="232"/>
      <c r="I107" s="232"/>
      <c r="J107" s="232"/>
      <c r="K107" s="113">
        <f>SUM(C107:J107)</f>
        <v>15000</v>
      </c>
      <c r="L107" s="113">
        <f t="shared" si="86"/>
        <v>10000</v>
      </c>
      <c r="M107" s="113">
        <f t="shared" si="87"/>
        <v>1250</v>
      </c>
      <c r="N107" s="677">
        <f t="shared" si="88"/>
        <v>11250</v>
      </c>
      <c r="O107" s="1303"/>
      <c r="P107" s="1228"/>
      <c r="Q107" s="1228">
        <v>4200</v>
      </c>
      <c r="R107" s="1228"/>
      <c r="S107" s="1228"/>
      <c r="T107" s="1228">
        <v>2317</v>
      </c>
      <c r="U107" s="1228"/>
      <c r="V107" s="1228"/>
      <c r="W107" s="1228">
        <f>900*2</f>
        <v>1800</v>
      </c>
      <c r="X107" s="1228">
        <v>2560</v>
      </c>
      <c r="Y107" s="1228"/>
      <c r="Z107" s="1228"/>
      <c r="AA107" s="1228">
        <f t="shared" si="81"/>
        <v>8317</v>
      </c>
      <c r="AB107" s="1228">
        <f t="shared" si="82"/>
        <v>2560</v>
      </c>
      <c r="AC107" s="677">
        <f t="shared" si="83"/>
        <v>10877</v>
      </c>
      <c r="AD107" s="677">
        <f t="shared" si="84"/>
        <v>373</v>
      </c>
      <c r="AE107" s="1230">
        <f t="shared" si="85"/>
        <v>4123</v>
      </c>
    </row>
    <row r="108" spans="1:31" x14ac:dyDescent="0.25">
      <c r="A108" s="1374" t="s">
        <v>44</v>
      </c>
      <c r="B108" s="168" t="s">
        <v>140</v>
      </c>
      <c r="C108" s="232">
        <v>8000</v>
      </c>
      <c r="D108" s="232"/>
      <c r="E108" s="232"/>
      <c r="F108" s="232"/>
      <c r="G108" s="232"/>
      <c r="H108" s="232"/>
      <c r="I108" s="232"/>
      <c r="J108" s="232"/>
      <c r="K108" s="113">
        <f t="shared" ref="K108:K136" si="89">SUM(C108:J108)</f>
        <v>8000</v>
      </c>
      <c r="L108" s="113">
        <f t="shared" si="86"/>
        <v>5333.333333333333</v>
      </c>
      <c r="M108" s="113">
        <f t="shared" si="87"/>
        <v>666.66666666666663</v>
      </c>
      <c r="N108" s="677">
        <f t="shared" si="88"/>
        <v>6000</v>
      </c>
      <c r="O108" s="1303"/>
      <c r="P108" s="1228"/>
      <c r="Q108" s="1228"/>
      <c r="R108" s="1228"/>
      <c r="S108" s="1228"/>
      <c r="T108" s="1228"/>
      <c r="U108" s="1228"/>
      <c r="V108" s="1228"/>
      <c r="W108" s="1228"/>
      <c r="X108" s="1228"/>
      <c r="Y108" s="1228"/>
      <c r="Z108" s="1228"/>
      <c r="AA108" s="1228">
        <f t="shared" si="81"/>
        <v>0</v>
      </c>
      <c r="AB108" s="1228">
        <f t="shared" si="82"/>
        <v>0</v>
      </c>
      <c r="AC108" s="677">
        <f t="shared" ref="AC108:AC136" si="90">AA108+AB108</f>
        <v>0</v>
      </c>
      <c r="AD108" s="677">
        <f t="shared" si="84"/>
        <v>6000</v>
      </c>
      <c r="AE108" s="1230">
        <f t="shared" si="85"/>
        <v>8000</v>
      </c>
    </row>
    <row r="109" spans="1:31" x14ac:dyDescent="0.25">
      <c r="A109" s="1374" t="s">
        <v>50</v>
      </c>
      <c r="B109" s="168" t="s">
        <v>51</v>
      </c>
      <c r="C109" s="232">
        <v>5000</v>
      </c>
      <c r="D109" s="232"/>
      <c r="E109" s="232"/>
      <c r="F109" s="232"/>
      <c r="G109" s="232"/>
      <c r="H109" s="232"/>
      <c r="I109" s="232"/>
      <c r="J109" s="232"/>
      <c r="K109" s="113">
        <f t="shared" si="89"/>
        <v>5000</v>
      </c>
      <c r="L109" s="113">
        <f t="shared" si="86"/>
        <v>3333.3333333333335</v>
      </c>
      <c r="M109" s="113">
        <f t="shared" si="87"/>
        <v>416.66666666666669</v>
      </c>
      <c r="N109" s="677">
        <f t="shared" si="88"/>
        <v>3750</v>
      </c>
      <c r="O109" s="1303"/>
      <c r="P109" s="1228"/>
      <c r="Q109" s="1228"/>
      <c r="R109" s="1228"/>
      <c r="S109" s="1228"/>
      <c r="T109" s="1228"/>
      <c r="U109" s="1228"/>
      <c r="V109" s="1228">
        <v>2200</v>
      </c>
      <c r="W109" s="1228"/>
      <c r="X109" s="1228"/>
      <c r="Y109" s="1228"/>
      <c r="Z109" s="1228"/>
      <c r="AA109" s="1228">
        <f t="shared" si="81"/>
        <v>2200</v>
      </c>
      <c r="AB109" s="1228">
        <f t="shared" si="82"/>
        <v>0</v>
      </c>
      <c r="AC109" s="677">
        <f t="shared" si="90"/>
        <v>2200</v>
      </c>
      <c r="AD109" s="677">
        <f t="shared" si="84"/>
        <v>1550</v>
      </c>
      <c r="AE109" s="1230">
        <f t="shared" si="85"/>
        <v>2800</v>
      </c>
    </row>
    <row r="110" spans="1:31" x14ac:dyDescent="0.25">
      <c r="A110" s="1374" t="s">
        <v>859</v>
      </c>
      <c r="B110" s="168" t="s">
        <v>83</v>
      </c>
      <c r="C110" s="232">
        <v>12500</v>
      </c>
      <c r="D110" s="232">
        <f>-4400</f>
        <v>-4400</v>
      </c>
      <c r="E110" s="232"/>
      <c r="F110" s="232"/>
      <c r="G110" s="232"/>
      <c r="H110" s="232"/>
      <c r="I110" s="232"/>
      <c r="J110" s="232"/>
      <c r="K110" s="113">
        <f t="shared" si="89"/>
        <v>8100</v>
      </c>
      <c r="L110" s="113">
        <f t="shared" si="86"/>
        <v>5400</v>
      </c>
      <c r="M110" s="113">
        <f t="shared" si="87"/>
        <v>675</v>
      </c>
      <c r="N110" s="677">
        <f t="shared" si="88"/>
        <v>6075</v>
      </c>
      <c r="O110" s="1303"/>
      <c r="P110" s="1228"/>
      <c r="Q110" s="1228"/>
      <c r="R110" s="1228"/>
      <c r="S110" s="1228"/>
      <c r="T110" s="1228"/>
      <c r="U110" s="1228">
        <v>8100</v>
      </c>
      <c r="V110" s="1228"/>
      <c r="W110" s="1228"/>
      <c r="X110" s="1228"/>
      <c r="Y110" s="1228"/>
      <c r="Z110" s="1228"/>
      <c r="AA110" s="1228">
        <f t="shared" si="81"/>
        <v>8100</v>
      </c>
      <c r="AB110" s="1228">
        <f t="shared" si="82"/>
        <v>0</v>
      </c>
      <c r="AC110" s="677">
        <f t="shared" si="90"/>
        <v>8100</v>
      </c>
      <c r="AD110" s="677">
        <f t="shared" si="84"/>
        <v>-2025</v>
      </c>
      <c r="AE110" s="1230">
        <f t="shared" si="85"/>
        <v>0</v>
      </c>
    </row>
    <row r="111" spans="1:31" x14ac:dyDescent="0.25">
      <c r="A111" s="1374" t="s">
        <v>860</v>
      </c>
      <c r="B111" s="168" t="s">
        <v>150</v>
      </c>
      <c r="C111" s="232">
        <v>25000</v>
      </c>
      <c r="D111" s="232"/>
      <c r="E111" s="232"/>
      <c r="F111" s="232"/>
      <c r="G111" s="232"/>
      <c r="H111" s="232"/>
      <c r="I111" s="232"/>
      <c r="J111" s="232"/>
      <c r="K111" s="113">
        <f t="shared" si="89"/>
        <v>25000</v>
      </c>
      <c r="L111" s="113">
        <f t="shared" si="86"/>
        <v>16666.666666666668</v>
      </c>
      <c r="M111" s="113">
        <f t="shared" si="87"/>
        <v>2083.3333333333335</v>
      </c>
      <c r="N111" s="677">
        <f t="shared" si="88"/>
        <v>18750</v>
      </c>
      <c r="O111" s="1303"/>
      <c r="P111" s="1228"/>
      <c r="Q111" s="1228"/>
      <c r="R111" s="1228"/>
      <c r="S111" s="1228"/>
      <c r="T111" s="1228"/>
      <c r="U111" s="1228"/>
      <c r="V111" s="1228">
        <v>19760</v>
      </c>
      <c r="W111" s="1228"/>
      <c r="X111" s="1228"/>
      <c r="Y111" s="1228"/>
      <c r="Z111" s="1228"/>
      <c r="AA111" s="1228">
        <f t="shared" si="81"/>
        <v>19760</v>
      </c>
      <c r="AB111" s="1228">
        <f t="shared" si="82"/>
        <v>0</v>
      </c>
      <c r="AC111" s="677">
        <f t="shared" si="90"/>
        <v>19760</v>
      </c>
      <c r="AD111" s="677">
        <f t="shared" si="84"/>
        <v>-1010</v>
      </c>
      <c r="AE111" s="1230">
        <f t="shared" si="85"/>
        <v>5240</v>
      </c>
    </row>
    <row r="112" spans="1:31" x14ac:dyDescent="0.25">
      <c r="A112" s="1374" t="s">
        <v>274</v>
      </c>
      <c r="B112" s="168" t="s">
        <v>104</v>
      </c>
      <c r="C112" s="232"/>
      <c r="D112" s="232"/>
      <c r="E112" s="232"/>
      <c r="F112" s="232"/>
      <c r="G112" s="232"/>
      <c r="H112" s="232"/>
      <c r="I112" s="232"/>
      <c r="J112" s="232"/>
      <c r="K112" s="113">
        <f t="shared" si="89"/>
        <v>0</v>
      </c>
      <c r="L112" s="113">
        <f t="shared" si="86"/>
        <v>0</v>
      </c>
      <c r="M112" s="113">
        <f t="shared" si="87"/>
        <v>0</v>
      </c>
      <c r="N112" s="677">
        <f t="shared" si="88"/>
        <v>0</v>
      </c>
      <c r="O112" s="1303"/>
      <c r="P112" s="1228"/>
      <c r="Q112" s="1228"/>
      <c r="R112" s="1228"/>
      <c r="S112" s="1228"/>
      <c r="T112" s="1228"/>
      <c r="U112" s="1228"/>
      <c r="V112" s="1228"/>
      <c r="W112" s="1228"/>
      <c r="X112" s="1228"/>
      <c r="Y112" s="1228"/>
      <c r="Z112" s="1228"/>
      <c r="AA112" s="1228">
        <f t="shared" si="81"/>
        <v>0</v>
      </c>
      <c r="AB112" s="1228">
        <f t="shared" si="82"/>
        <v>0</v>
      </c>
      <c r="AC112" s="677">
        <f t="shared" si="90"/>
        <v>0</v>
      </c>
      <c r="AD112" s="677">
        <f t="shared" si="84"/>
        <v>0</v>
      </c>
      <c r="AE112" s="1230">
        <f t="shared" si="85"/>
        <v>0</v>
      </c>
    </row>
    <row r="113" spans="1:31" x14ac:dyDescent="0.25">
      <c r="A113" s="636" t="s">
        <v>861</v>
      </c>
      <c r="B113" s="637"/>
      <c r="C113" s="232">
        <f>535333.81+329000</f>
        <v>864333.81</v>
      </c>
      <c r="D113" s="232">
        <f>-7100</f>
        <v>-7100</v>
      </c>
      <c r="E113" s="232"/>
      <c r="F113" s="232"/>
      <c r="G113" s="232"/>
      <c r="H113" s="232"/>
      <c r="I113" s="232"/>
      <c r="J113" s="232"/>
      <c r="K113" s="113">
        <f t="shared" si="89"/>
        <v>857233.81</v>
      </c>
      <c r="L113" s="113">
        <f t="shared" si="86"/>
        <v>571489.20666666667</v>
      </c>
      <c r="M113" s="113">
        <f t="shared" si="87"/>
        <v>71436.150833333333</v>
      </c>
      <c r="N113" s="677">
        <f t="shared" si="88"/>
        <v>642925.35750000004</v>
      </c>
      <c r="O113" s="170"/>
      <c r="P113" s="170"/>
      <c r="Q113" s="677">
        <v>136000</v>
      </c>
      <c r="R113" s="170"/>
      <c r="S113" s="170">
        <v>136000</v>
      </c>
      <c r="T113" s="170">
        <v>136000</v>
      </c>
      <c r="U113" s="170"/>
      <c r="V113" s="170"/>
      <c r="W113" s="677">
        <v>142000</v>
      </c>
      <c r="X113" s="170"/>
      <c r="Y113" s="170"/>
      <c r="Z113" s="170"/>
      <c r="AA113" s="1228">
        <f t="shared" si="81"/>
        <v>550000</v>
      </c>
      <c r="AB113" s="1228">
        <f t="shared" si="82"/>
        <v>0</v>
      </c>
      <c r="AC113" s="677">
        <f t="shared" si="90"/>
        <v>550000</v>
      </c>
      <c r="AD113" s="677">
        <f t="shared" si="84"/>
        <v>92925.357500000042</v>
      </c>
      <c r="AE113" s="1230">
        <f t="shared" si="85"/>
        <v>307233.81000000006</v>
      </c>
    </row>
    <row r="114" spans="1:31" x14ac:dyDescent="0.25">
      <c r="A114" s="1374" t="s">
        <v>253</v>
      </c>
      <c r="B114" s="168" t="s">
        <v>93</v>
      </c>
      <c r="C114" s="232"/>
      <c r="D114" s="232"/>
      <c r="E114" s="232"/>
      <c r="F114" s="232"/>
      <c r="G114" s="232"/>
      <c r="H114" s="232"/>
      <c r="I114" s="232"/>
      <c r="J114" s="232"/>
      <c r="K114" s="113">
        <f t="shared" si="89"/>
        <v>0</v>
      </c>
      <c r="L114" s="113">
        <f t="shared" si="86"/>
        <v>0</v>
      </c>
      <c r="M114" s="113">
        <f t="shared" si="87"/>
        <v>0</v>
      </c>
      <c r="N114" s="677">
        <f t="shared" si="88"/>
        <v>0</v>
      </c>
      <c r="O114" s="170"/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170"/>
      <c r="AA114" s="1228">
        <f t="shared" si="81"/>
        <v>0</v>
      </c>
      <c r="AB114" s="1228">
        <f t="shared" si="82"/>
        <v>0</v>
      </c>
      <c r="AC114" s="677">
        <f t="shared" si="90"/>
        <v>0</v>
      </c>
      <c r="AD114" s="677">
        <f t="shared" si="84"/>
        <v>0</v>
      </c>
      <c r="AE114" s="1230">
        <f t="shared" si="85"/>
        <v>0</v>
      </c>
    </row>
    <row r="115" spans="1:31" x14ac:dyDescent="0.25">
      <c r="A115" s="636" t="s">
        <v>862</v>
      </c>
      <c r="B115" s="168"/>
      <c r="C115" s="232">
        <v>5000</v>
      </c>
      <c r="D115" s="232"/>
      <c r="E115" s="232"/>
      <c r="F115" s="232"/>
      <c r="G115" s="232"/>
      <c r="H115" s="232"/>
      <c r="I115" s="232"/>
      <c r="J115" s="232"/>
      <c r="K115" s="113">
        <f t="shared" si="89"/>
        <v>5000</v>
      </c>
      <c r="L115" s="113">
        <f t="shared" si="86"/>
        <v>3333.3333333333335</v>
      </c>
      <c r="M115" s="113">
        <f t="shared" si="87"/>
        <v>416.66666666666669</v>
      </c>
      <c r="N115" s="677">
        <f t="shared" si="88"/>
        <v>3750</v>
      </c>
      <c r="O115" s="1228"/>
      <c r="P115" s="1228"/>
      <c r="Q115" s="1228"/>
      <c r="R115" s="1228"/>
      <c r="S115" s="1228"/>
      <c r="T115" s="1228"/>
      <c r="U115" s="1228">
        <f>2400+2450</f>
        <v>4850</v>
      </c>
      <c r="V115" s="1228"/>
      <c r="W115" s="1228">
        <v>40</v>
      </c>
      <c r="X115" s="1228"/>
      <c r="Y115" s="1228"/>
      <c r="Z115" s="1228"/>
      <c r="AA115" s="1228">
        <f t="shared" si="81"/>
        <v>4890</v>
      </c>
      <c r="AB115" s="1228">
        <f t="shared" si="82"/>
        <v>0</v>
      </c>
      <c r="AC115" s="677">
        <f t="shared" si="90"/>
        <v>4890</v>
      </c>
      <c r="AD115" s="677">
        <f t="shared" si="84"/>
        <v>-1140</v>
      </c>
      <c r="AE115" s="1230">
        <f t="shared" si="85"/>
        <v>110</v>
      </c>
    </row>
    <row r="116" spans="1:31" x14ac:dyDescent="0.25">
      <c r="A116" s="635" t="s">
        <v>863</v>
      </c>
      <c r="B116" s="637"/>
      <c r="C116" s="232"/>
      <c r="D116" s="232"/>
      <c r="E116" s="232"/>
      <c r="F116" s="232"/>
      <c r="G116" s="232"/>
      <c r="H116" s="232"/>
      <c r="I116" s="232"/>
      <c r="J116" s="232"/>
      <c r="K116" s="113">
        <f t="shared" si="89"/>
        <v>0</v>
      </c>
      <c r="L116" s="113">
        <f t="shared" si="86"/>
        <v>0</v>
      </c>
      <c r="M116" s="113">
        <f t="shared" si="87"/>
        <v>0</v>
      </c>
      <c r="N116" s="677">
        <f t="shared" si="88"/>
        <v>0</v>
      </c>
      <c r="O116" s="1228"/>
      <c r="P116" s="1228"/>
      <c r="Q116" s="1228"/>
      <c r="R116" s="1228"/>
      <c r="S116" s="1228"/>
      <c r="T116" s="1228"/>
      <c r="U116" s="1228"/>
      <c r="V116" s="1228"/>
      <c r="W116" s="1228"/>
      <c r="X116" s="1228"/>
      <c r="Y116" s="1228"/>
      <c r="Z116" s="1228"/>
      <c r="AA116" s="1228">
        <f t="shared" si="81"/>
        <v>0</v>
      </c>
      <c r="AB116" s="1228">
        <f t="shared" si="82"/>
        <v>0</v>
      </c>
      <c r="AC116" s="677">
        <f t="shared" si="90"/>
        <v>0</v>
      </c>
      <c r="AD116" s="677">
        <f t="shared" si="84"/>
        <v>0</v>
      </c>
      <c r="AE116" s="1230">
        <f t="shared" si="85"/>
        <v>0</v>
      </c>
    </row>
    <row r="117" spans="1:31" x14ac:dyDescent="0.25">
      <c r="A117" s="391" t="s">
        <v>44</v>
      </c>
      <c r="B117" s="168" t="s">
        <v>140</v>
      </c>
      <c r="C117" s="232"/>
      <c r="D117" s="232"/>
      <c r="E117" s="232"/>
      <c r="F117" s="232"/>
      <c r="G117" s="232"/>
      <c r="H117" s="232"/>
      <c r="I117" s="232"/>
      <c r="J117" s="232"/>
      <c r="K117" s="113">
        <f t="shared" si="89"/>
        <v>0</v>
      </c>
      <c r="L117" s="113">
        <f t="shared" si="86"/>
        <v>0</v>
      </c>
      <c r="M117" s="113">
        <f t="shared" si="87"/>
        <v>0</v>
      </c>
      <c r="N117" s="677">
        <f t="shared" si="88"/>
        <v>0</v>
      </c>
      <c r="O117" s="1228"/>
      <c r="P117" s="1228"/>
      <c r="Q117" s="1228"/>
      <c r="R117" s="1228"/>
      <c r="S117" s="1228"/>
      <c r="T117" s="1228"/>
      <c r="U117" s="1228"/>
      <c r="V117" s="1228"/>
      <c r="W117" s="1228"/>
      <c r="X117" s="1228"/>
      <c r="Y117" s="1228"/>
      <c r="Z117" s="1228"/>
      <c r="AA117" s="1228">
        <f t="shared" si="81"/>
        <v>0</v>
      </c>
      <c r="AB117" s="1228">
        <f t="shared" si="82"/>
        <v>0</v>
      </c>
      <c r="AC117" s="677">
        <f t="shared" si="90"/>
        <v>0</v>
      </c>
      <c r="AD117" s="677">
        <f t="shared" si="84"/>
        <v>0</v>
      </c>
      <c r="AE117" s="1230">
        <f t="shared" si="85"/>
        <v>0</v>
      </c>
    </row>
    <row r="118" spans="1:31" x14ac:dyDescent="0.25">
      <c r="A118" s="391" t="s">
        <v>253</v>
      </c>
      <c r="B118" s="168" t="s">
        <v>93</v>
      </c>
      <c r="C118" s="232">
        <v>31000</v>
      </c>
      <c r="D118" s="232">
        <v>16500</v>
      </c>
      <c r="E118" s="232"/>
      <c r="F118" s="232"/>
      <c r="G118" s="232"/>
      <c r="H118" s="232"/>
      <c r="I118" s="232"/>
      <c r="J118" s="232"/>
      <c r="K118" s="113">
        <f t="shared" si="89"/>
        <v>47500</v>
      </c>
      <c r="L118" s="113">
        <f t="shared" si="86"/>
        <v>31666.666666666668</v>
      </c>
      <c r="M118" s="113">
        <f t="shared" si="87"/>
        <v>3958.3333333333335</v>
      </c>
      <c r="N118" s="677">
        <f t="shared" si="88"/>
        <v>35625</v>
      </c>
      <c r="O118" s="1228"/>
      <c r="P118" s="1228"/>
      <c r="Q118" s="1228"/>
      <c r="R118" s="1228"/>
      <c r="S118" s="1228">
        <v>15400</v>
      </c>
      <c r="T118" s="1228"/>
      <c r="U118" s="1228"/>
      <c r="V118" s="1228">
        <v>4200</v>
      </c>
      <c r="W118" s="1228">
        <f>11400+3600</f>
        <v>15000</v>
      </c>
      <c r="X118" s="1228"/>
      <c r="Y118" s="1228"/>
      <c r="Z118" s="1228"/>
      <c r="AA118" s="1228">
        <f t="shared" si="81"/>
        <v>34600</v>
      </c>
      <c r="AB118" s="1228">
        <f t="shared" si="82"/>
        <v>0</v>
      </c>
      <c r="AC118" s="677">
        <f t="shared" si="90"/>
        <v>34600</v>
      </c>
      <c r="AD118" s="677">
        <f t="shared" si="84"/>
        <v>1025</v>
      </c>
      <c r="AE118" s="1230">
        <f t="shared" si="85"/>
        <v>12900</v>
      </c>
    </row>
    <row r="119" spans="1:31" x14ac:dyDescent="0.25">
      <c r="A119" s="1375" t="s">
        <v>683</v>
      </c>
      <c r="B119" s="168" t="s">
        <v>56</v>
      </c>
      <c r="C119" s="232">
        <v>4000</v>
      </c>
      <c r="D119" s="232"/>
      <c r="E119" s="232"/>
      <c r="F119" s="232"/>
      <c r="G119" s="232"/>
      <c r="H119" s="232"/>
      <c r="I119" s="232"/>
      <c r="J119" s="232"/>
      <c r="K119" s="113">
        <f t="shared" si="89"/>
        <v>4000</v>
      </c>
      <c r="L119" s="113">
        <f t="shared" si="86"/>
        <v>2666.6666666666665</v>
      </c>
      <c r="M119" s="113">
        <f t="shared" si="87"/>
        <v>333.33333333333331</v>
      </c>
      <c r="N119" s="677">
        <f t="shared" si="88"/>
        <v>3000</v>
      </c>
      <c r="O119" s="1228"/>
      <c r="P119" s="1228"/>
      <c r="Q119" s="1228"/>
      <c r="R119" s="1228"/>
      <c r="S119" s="1228"/>
      <c r="T119" s="1228"/>
      <c r="U119" s="1228"/>
      <c r="V119" s="1228"/>
      <c r="W119" s="1228"/>
      <c r="X119" s="1228"/>
      <c r="Y119" s="1228"/>
      <c r="Z119" s="1228"/>
      <c r="AA119" s="1228">
        <f t="shared" si="81"/>
        <v>0</v>
      </c>
      <c r="AB119" s="1228">
        <f t="shared" si="82"/>
        <v>0</v>
      </c>
      <c r="AC119" s="677">
        <f t="shared" si="90"/>
        <v>0</v>
      </c>
      <c r="AD119" s="677">
        <f t="shared" si="84"/>
        <v>3000</v>
      </c>
      <c r="AE119" s="1230">
        <f t="shared" si="85"/>
        <v>4000</v>
      </c>
    </row>
    <row r="120" spans="1:31" x14ac:dyDescent="0.25">
      <c r="A120" s="1376" t="s">
        <v>864</v>
      </c>
      <c r="B120" s="168"/>
      <c r="C120" s="232"/>
      <c r="D120" s="232"/>
      <c r="E120" s="232"/>
      <c r="F120" s="232"/>
      <c r="G120" s="232"/>
      <c r="H120" s="232"/>
      <c r="I120" s="232"/>
      <c r="J120" s="232"/>
      <c r="K120" s="113">
        <f t="shared" si="89"/>
        <v>0</v>
      </c>
      <c r="L120" s="113">
        <f t="shared" si="86"/>
        <v>0</v>
      </c>
      <c r="M120" s="113">
        <f t="shared" si="87"/>
        <v>0</v>
      </c>
      <c r="N120" s="677">
        <f t="shared" si="88"/>
        <v>0</v>
      </c>
      <c r="O120" s="1228"/>
      <c r="P120" s="1228"/>
      <c r="Q120" s="1228"/>
      <c r="R120" s="1228"/>
      <c r="S120" s="1228"/>
      <c r="T120" s="1228"/>
      <c r="U120" s="1228"/>
      <c r="V120" s="1228"/>
      <c r="W120" s="1228"/>
      <c r="X120" s="1228"/>
      <c r="Y120" s="1228"/>
      <c r="Z120" s="1228"/>
      <c r="AA120" s="1228">
        <f t="shared" si="81"/>
        <v>0</v>
      </c>
      <c r="AB120" s="1228">
        <f t="shared" si="82"/>
        <v>0</v>
      </c>
      <c r="AC120" s="677">
        <f t="shared" si="90"/>
        <v>0</v>
      </c>
      <c r="AD120" s="677">
        <f t="shared" si="84"/>
        <v>0</v>
      </c>
      <c r="AE120" s="1230">
        <f t="shared" si="85"/>
        <v>0</v>
      </c>
    </row>
    <row r="121" spans="1:31" x14ac:dyDescent="0.25">
      <c r="A121" s="1375" t="s">
        <v>683</v>
      </c>
      <c r="B121" s="168" t="s">
        <v>56</v>
      </c>
      <c r="C121" s="232"/>
      <c r="D121" s="232"/>
      <c r="E121" s="232"/>
      <c r="F121" s="232"/>
      <c r="G121" s="232"/>
      <c r="H121" s="232"/>
      <c r="I121" s="232"/>
      <c r="J121" s="232"/>
      <c r="K121" s="113">
        <f t="shared" si="89"/>
        <v>0</v>
      </c>
      <c r="L121" s="113">
        <f t="shared" si="86"/>
        <v>0</v>
      </c>
      <c r="M121" s="113">
        <f t="shared" si="87"/>
        <v>0</v>
      </c>
      <c r="N121" s="677">
        <f t="shared" si="88"/>
        <v>0</v>
      </c>
      <c r="O121" s="1228"/>
      <c r="P121" s="1228"/>
      <c r="Q121" s="1228"/>
      <c r="R121" s="1228"/>
      <c r="S121" s="1228"/>
      <c r="T121" s="1228"/>
      <c r="U121" s="1228"/>
      <c r="V121" s="1228"/>
      <c r="W121" s="1228"/>
      <c r="X121" s="1228"/>
      <c r="Y121" s="1228"/>
      <c r="Z121" s="1228"/>
      <c r="AA121" s="1228">
        <f t="shared" si="81"/>
        <v>0</v>
      </c>
      <c r="AB121" s="1228">
        <f t="shared" si="82"/>
        <v>0</v>
      </c>
      <c r="AC121" s="677">
        <f t="shared" si="90"/>
        <v>0</v>
      </c>
      <c r="AD121" s="677">
        <f t="shared" si="84"/>
        <v>0</v>
      </c>
      <c r="AE121" s="1230">
        <f t="shared" si="85"/>
        <v>0</v>
      </c>
    </row>
    <row r="122" spans="1:31" x14ac:dyDescent="0.25">
      <c r="A122" s="1377" t="s">
        <v>865</v>
      </c>
      <c r="B122" s="168"/>
      <c r="C122" s="232">
        <v>20000</v>
      </c>
      <c r="D122" s="232"/>
      <c r="E122" s="232"/>
      <c r="F122" s="232"/>
      <c r="G122" s="232"/>
      <c r="H122" s="232"/>
      <c r="I122" s="232"/>
      <c r="J122" s="232"/>
      <c r="K122" s="113">
        <f t="shared" si="89"/>
        <v>20000</v>
      </c>
      <c r="L122" s="113">
        <f t="shared" si="86"/>
        <v>13333.333333333334</v>
      </c>
      <c r="M122" s="113">
        <f t="shared" si="87"/>
        <v>1666.6666666666667</v>
      </c>
      <c r="N122" s="677">
        <f t="shared" si="88"/>
        <v>15000</v>
      </c>
      <c r="O122" s="1228"/>
      <c r="P122" s="1228"/>
      <c r="Q122" s="1228">
        <v>1104.32</v>
      </c>
      <c r="R122" s="1228"/>
      <c r="S122" s="1228">
        <v>5044.33</v>
      </c>
      <c r="T122" s="1228"/>
      <c r="U122" s="1347">
        <v>2453.92</v>
      </c>
      <c r="V122" s="1228"/>
      <c r="W122" s="1228"/>
      <c r="X122" s="1228"/>
      <c r="Y122" s="1228"/>
      <c r="Z122" s="1228"/>
      <c r="AA122" s="1228">
        <f>O122+P122+Q122+R122+S122+T122+U122+V122+W122</f>
        <v>8602.57</v>
      </c>
      <c r="AB122" s="1228">
        <f t="shared" si="82"/>
        <v>0</v>
      </c>
      <c r="AC122" s="677">
        <f t="shared" si="90"/>
        <v>8602.57</v>
      </c>
      <c r="AD122" s="677">
        <f t="shared" si="84"/>
        <v>6397.43</v>
      </c>
      <c r="AE122" s="1230">
        <f t="shared" si="85"/>
        <v>11397.43</v>
      </c>
    </row>
    <row r="123" spans="1:31" x14ac:dyDescent="0.25">
      <c r="A123" s="1375" t="s">
        <v>655</v>
      </c>
      <c r="B123" s="168" t="s">
        <v>267</v>
      </c>
      <c r="C123" s="232"/>
      <c r="D123" s="232"/>
      <c r="E123" s="232"/>
      <c r="F123" s="232"/>
      <c r="G123" s="232"/>
      <c r="H123" s="232"/>
      <c r="I123" s="232"/>
      <c r="J123" s="232"/>
      <c r="K123" s="113">
        <f t="shared" si="89"/>
        <v>0</v>
      </c>
      <c r="L123" s="113">
        <f t="shared" si="86"/>
        <v>0</v>
      </c>
      <c r="M123" s="113">
        <f t="shared" si="87"/>
        <v>0</v>
      </c>
      <c r="N123" s="677">
        <f t="shared" si="88"/>
        <v>0</v>
      </c>
      <c r="O123" s="1228"/>
      <c r="P123" s="1228"/>
      <c r="Q123" s="1228"/>
      <c r="R123" s="1228"/>
      <c r="S123" s="1228"/>
      <c r="T123" s="1228"/>
      <c r="U123" s="1228"/>
      <c r="V123" s="1228"/>
      <c r="W123" s="1228"/>
      <c r="X123" s="1228"/>
      <c r="Y123" s="1228"/>
      <c r="Z123" s="1228"/>
      <c r="AA123" s="1228">
        <f t="shared" si="81"/>
        <v>0</v>
      </c>
      <c r="AB123" s="1228">
        <f t="shared" si="82"/>
        <v>0</v>
      </c>
      <c r="AC123" s="677">
        <f t="shared" si="90"/>
        <v>0</v>
      </c>
      <c r="AD123" s="677">
        <f t="shared" si="84"/>
        <v>0</v>
      </c>
      <c r="AE123" s="1230">
        <f t="shared" si="85"/>
        <v>0</v>
      </c>
    </row>
    <row r="124" spans="1:31" x14ac:dyDescent="0.25">
      <c r="A124" s="636" t="s">
        <v>866</v>
      </c>
      <c r="B124" s="637"/>
      <c r="C124" s="232">
        <v>30000</v>
      </c>
      <c r="D124" s="232"/>
      <c r="E124" s="232"/>
      <c r="F124" s="232"/>
      <c r="G124" s="232"/>
      <c r="H124" s="232"/>
      <c r="I124" s="232"/>
      <c r="J124" s="232"/>
      <c r="K124" s="113">
        <f t="shared" si="89"/>
        <v>30000</v>
      </c>
      <c r="L124" s="113">
        <f t="shared" si="86"/>
        <v>20000</v>
      </c>
      <c r="M124" s="113">
        <f t="shared" si="87"/>
        <v>2500</v>
      </c>
      <c r="N124" s="677">
        <f t="shared" si="88"/>
        <v>22500</v>
      </c>
      <c r="O124" s="170"/>
      <c r="P124" s="170"/>
      <c r="Q124" s="170"/>
      <c r="R124" s="170"/>
      <c r="S124" s="170"/>
      <c r="T124" s="170"/>
      <c r="U124" s="170"/>
      <c r="V124" s="170"/>
      <c r="W124" s="170"/>
      <c r="X124" s="677">
        <v>29950</v>
      </c>
      <c r="Y124" s="170"/>
      <c r="Z124" s="170"/>
      <c r="AA124" s="1228">
        <f t="shared" si="81"/>
        <v>0</v>
      </c>
      <c r="AB124" s="1228">
        <f t="shared" si="82"/>
        <v>29950</v>
      </c>
      <c r="AC124" s="677">
        <f t="shared" si="90"/>
        <v>29950</v>
      </c>
      <c r="AD124" s="677">
        <f t="shared" si="84"/>
        <v>-7450</v>
      </c>
      <c r="AE124" s="1230">
        <f t="shared" si="85"/>
        <v>50</v>
      </c>
    </row>
    <row r="125" spans="1:31" ht="30.75" customHeight="1" x14ac:dyDescent="0.25">
      <c r="A125" s="1378" t="s">
        <v>433</v>
      </c>
      <c r="B125" s="168" t="s">
        <v>79</v>
      </c>
      <c r="C125" s="232"/>
      <c r="D125" s="232"/>
      <c r="E125" s="232"/>
      <c r="F125" s="232"/>
      <c r="G125" s="232"/>
      <c r="H125" s="232"/>
      <c r="I125" s="232"/>
      <c r="J125" s="232"/>
      <c r="K125" s="113">
        <f t="shared" si="89"/>
        <v>0</v>
      </c>
      <c r="L125" s="113">
        <f t="shared" si="86"/>
        <v>0</v>
      </c>
      <c r="M125" s="113">
        <f t="shared" si="87"/>
        <v>0</v>
      </c>
      <c r="N125" s="677">
        <f t="shared" si="88"/>
        <v>0</v>
      </c>
      <c r="O125" s="170"/>
      <c r="P125" s="170"/>
      <c r="Q125" s="170"/>
      <c r="R125" s="170"/>
      <c r="S125" s="170"/>
      <c r="T125" s="170"/>
      <c r="U125" s="170"/>
      <c r="V125" s="170"/>
      <c r="W125" s="170"/>
      <c r="X125" s="170"/>
      <c r="Y125" s="170"/>
      <c r="Z125" s="170"/>
      <c r="AA125" s="1228">
        <f t="shared" si="81"/>
        <v>0</v>
      </c>
      <c r="AB125" s="1228">
        <f t="shared" si="82"/>
        <v>0</v>
      </c>
      <c r="AC125" s="677">
        <f t="shared" si="90"/>
        <v>0</v>
      </c>
      <c r="AD125" s="677">
        <f t="shared" si="84"/>
        <v>0</v>
      </c>
      <c r="AE125" s="1230">
        <f t="shared" si="85"/>
        <v>0</v>
      </c>
    </row>
    <row r="126" spans="1:31" x14ac:dyDescent="0.25">
      <c r="A126" s="1379" t="s">
        <v>867</v>
      </c>
      <c r="B126" s="168"/>
      <c r="C126" s="232">
        <v>10000</v>
      </c>
      <c r="D126" s="232"/>
      <c r="E126" s="232"/>
      <c r="F126" s="232"/>
      <c r="G126" s="232"/>
      <c r="H126" s="232"/>
      <c r="I126" s="232"/>
      <c r="J126" s="232"/>
      <c r="K126" s="113">
        <f t="shared" si="89"/>
        <v>10000</v>
      </c>
      <c r="L126" s="113">
        <f t="shared" si="86"/>
        <v>6666.666666666667</v>
      </c>
      <c r="M126" s="113">
        <f t="shared" si="87"/>
        <v>833.33333333333337</v>
      </c>
      <c r="N126" s="677">
        <f t="shared" si="88"/>
        <v>7500</v>
      </c>
      <c r="O126" s="1228"/>
      <c r="P126" s="1228"/>
      <c r="Q126" s="1228"/>
      <c r="R126" s="1228"/>
      <c r="S126" s="1228"/>
      <c r="T126" s="1228"/>
      <c r="U126" s="1228"/>
      <c r="V126" s="1228"/>
      <c r="W126" s="1228">
        <v>10000</v>
      </c>
      <c r="X126" s="1228"/>
      <c r="Y126" s="1228"/>
      <c r="Z126" s="1228"/>
      <c r="AA126" s="1228">
        <f t="shared" si="81"/>
        <v>10000</v>
      </c>
      <c r="AB126" s="1228">
        <f t="shared" si="82"/>
        <v>0</v>
      </c>
      <c r="AC126" s="677">
        <f t="shared" si="90"/>
        <v>10000</v>
      </c>
      <c r="AD126" s="677">
        <f t="shared" si="84"/>
        <v>-2500</v>
      </c>
      <c r="AE126" s="1230">
        <f t="shared" si="85"/>
        <v>0</v>
      </c>
    </row>
    <row r="127" spans="1:31" x14ac:dyDescent="0.25">
      <c r="A127" s="992" t="s">
        <v>271</v>
      </c>
      <c r="B127" s="1344"/>
      <c r="C127" s="1344"/>
      <c r="D127" s="1344"/>
      <c r="E127" s="1344"/>
      <c r="F127" s="1344"/>
      <c r="G127" s="1344"/>
      <c r="H127" s="1344"/>
      <c r="I127" s="1344"/>
      <c r="J127" s="1344"/>
      <c r="K127" s="113">
        <f t="shared" si="89"/>
        <v>0</v>
      </c>
      <c r="L127" s="113">
        <f t="shared" si="86"/>
        <v>0</v>
      </c>
      <c r="M127" s="113">
        <f t="shared" si="87"/>
        <v>0</v>
      </c>
      <c r="N127" s="677">
        <f t="shared" si="88"/>
        <v>0</v>
      </c>
      <c r="O127" s="1228"/>
      <c r="P127" s="1228"/>
      <c r="Q127" s="1228"/>
      <c r="R127" s="1228"/>
      <c r="S127" s="1228"/>
      <c r="T127" s="1228"/>
      <c r="U127" s="1228"/>
      <c r="V127" s="1228"/>
      <c r="W127" s="1228"/>
      <c r="X127" s="1228"/>
      <c r="Y127" s="1228"/>
      <c r="Z127" s="1228"/>
      <c r="AA127" s="1228">
        <f t="shared" si="81"/>
        <v>0</v>
      </c>
      <c r="AB127" s="1228">
        <f t="shared" si="82"/>
        <v>0</v>
      </c>
      <c r="AC127" s="677">
        <f t="shared" si="90"/>
        <v>0</v>
      </c>
      <c r="AD127" s="677">
        <f t="shared" si="84"/>
        <v>0</v>
      </c>
      <c r="AE127" s="1230">
        <f t="shared" si="85"/>
        <v>0</v>
      </c>
    </row>
    <row r="128" spans="1:31" x14ac:dyDescent="0.25">
      <c r="A128" s="1380" t="s">
        <v>263</v>
      </c>
      <c r="B128" s="168" t="s">
        <v>264</v>
      </c>
      <c r="C128" s="232"/>
      <c r="D128" s="232"/>
      <c r="E128" s="232"/>
      <c r="F128" s="232"/>
      <c r="G128" s="232"/>
      <c r="H128" s="232"/>
      <c r="I128" s="232"/>
      <c r="J128" s="232"/>
      <c r="K128" s="113">
        <f t="shared" si="89"/>
        <v>0</v>
      </c>
      <c r="L128" s="113">
        <f t="shared" si="86"/>
        <v>0</v>
      </c>
      <c r="M128" s="113">
        <f t="shared" si="87"/>
        <v>0</v>
      </c>
      <c r="N128" s="677">
        <f t="shared" si="88"/>
        <v>0</v>
      </c>
      <c r="O128" s="1228"/>
      <c r="P128" s="1228"/>
      <c r="Q128" s="1228"/>
      <c r="R128" s="1228"/>
      <c r="S128" s="1228"/>
      <c r="T128" s="1228"/>
      <c r="U128" s="1228"/>
      <c r="V128" s="1228"/>
      <c r="W128" s="1228"/>
      <c r="X128" s="1228"/>
      <c r="Y128" s="1228"/>
      <c r="Z128" s="1228"/>
      <c r="AA128" s="1228">
        <f t="shared" si="81"/>
        <v>0</v>
      </c>
      <c r="AB128" s="1228">
        <f t="shared" si="82"/>
        <v>0</v>
      </c>
      <c r="AC128" s="677">
        <f t="shared" si="90"/>
        <v>0</v>
      </c>
      <c r="AD128" s="677">
        <f t="shared" si="84"/>
        <v>0</v>
      </c>
      <c r="AE128" s="1230">
        <f t="shared" si="85"/>
        <v>0</v>
      </c>
    </row>
    <row r="129" spans="1:31" x14ac:dyDescent="0.25">
      <c r="A129" s="1381" t="s">
        <v>868</v>
      </c>
      <c r="B129" s="637"/>
      <c r="C129" s="232">
        <v>85000</v>
      </c>
      <c r="D129" s="232"/>
      <c r="E129" s="232"/>
      <c r="F129" s="232"/>
      <c r="G129" s="232"/>
      <c r="H129" s="232"/>
      <c r="I129" s="232"/>
      <c r="J129" s="232"/>
      <c r="K129" s="113">
        <f t="shared" si="89"/>
        <v>85000</v>
      </c>
      <c r="L129" s="113">
        <f t="shared" si="86"/>
        <v>56666.666666666664</v>
      </c>
      <c r="M129" s="113">
        <f t="shared" ref="M129:M136" si="91">K129/12</f>
        <v>7083.333333333333</v>
      </c>
      <c r="N129" s="677">
        <f t="shared" ref="N129:N136" si="92">L129+M129</f>
        <v>63750</v>
      </c>
      <c r="O129" s="1228"/>
      <c r="P129" s="1228"/>
      <c r="Q129" s="1228">
        <v>42500</v>
      </c>
      <c r="R129" s="1228"/>
      <c r="S129" s="1228"/>
      <c r="T129" s="1228"/>
      <c r="U129" s="1228">
        <v>42500</v>
      </c>
      <c r="V129" s="1228"/>
      <c r="W129" s="1228"/>
      <c r="X129" s="1228"/>
      <c r="Y129" s="1228"/>
      <c r="Z129" s="1228"/>
      <c r="AA129" s="1228">
        <f t="shared" si="81"/>
        <v>85000</v>
      </c>
      <c r="AB129" s="1228">
        <f t="shared" si="82"/>
        <v>0</v>
      </c>
      <c r="AC129" s="677">
        <f t="shared" si="90"/>
        <v>85000</v>
      </c>
      <c r="AD129" s="677">
        <f t="shared" si="84"/>
        <v>-21250</v>
      </c>
      <c r="AE129" s="1230">
        <f t="shared" si="85"/>
        <v>0</v>
      </c>
    </row>
    <row r="130" spans="1:31" x14ac:dyDescent="0.25">
      <c r="A130" s="1381" t="s">
        <v>869</v>
      </c>
      <c r="B130" s="637"/>
      <c r="C130" s="232">
        <v>20000</v>
      </c>
      <c r="D130" s="232">
        <f>-15000</f>
        <v>-15000</v>
      </c>
      <c r="E130" s="232"/>
      <c r="F130" s="232"/>
      <c r="G130" s="232"/>
      <c r="H130" s="232"/>
      <c r="I130" s="232"/>
      <c r="J130" s="232"/>
      <c r="K130" s="113">
        <f t="shared" si="89"/>
        <v>5000</v>
      </c>
      <c r="L130" s="113">
        <f t="shared" si="86"/>
        <v>3333.3333333333335</v>
      </c>
      <c r="M130" s="113">
        <f t="shared" si="91"/>
        <v>416.66666666666669</v>
      </c>
      <c r="N130" s="677">
        <f t="shared" si="92"/>
        <v>3750</v>
      </c>
      <c r="O130" s="1228"/>
      <c r="P130" s="1228"/>
      <c r="Q130" s="1228"/>
      <c r="R130" s="1228"/>
      <c r="S130" s="1228"/>
      <c r="T130" s="1228"/>
      <c r="U130" s="1228"/>
      <c r="V130" s="1228"/>
      <c r="W130" s="1228"/>
      <c r="X130" s="1228"/>
      <c r="Y130" s="1228"/>
      <c r="Z130" s="1228"/>
      <c r="AA130" s="1228">
        <f t="shared" si="81"/>
        <v>0</v>
      </c>
      <c r="AB130" s="1228">
        <f t="shared" si="82"/>
        <v>0</v>
      </c>
      <c r="AC130" s="677">
        <f t="shared" si="90"/>
        <v>0</v>
      </c>
      <c r="AD130" s="677">
        <f t="shared" si="84"/>
        <v>3750</v>
      </c>
      <c r="AE130" s="1230">
        <f t="shared" si="85"/>
        <v>5000</v>
      </c>
    </row>
    <row r="131" spans="1:31" x14ac:dyDescent="0.25">
      <c r="A131" s="1382" t="s">
        <v>870</v>
      </c>
      <c r="B131" s="637"/>
      <c r="C131" s="232"/>
      <c r="D131" s="232"/>
      <c r="E131" s="232"/>
      <c r="F131" s="232"/>
      <c r="G131" s="232"/>
      <c r="H131" s="232"/>
      <c r="I131" s="232"/>
      <c r="J131" s="232"/>
      <c r="K131" s="113">
        <f t="shared" si="89"/>
        <v>0</v>
      </c>
      <c r="L131" s="113">
        <f t="shared" si="86"/>
        <v>0</v>
      </c>
      <c r="M131" s="113">
        <f t="shared" si="91"/>
        <v>0</v>
      </c>
      <c r="N131" s="677">
        <f t="shared" si="92"/>
        <v>0</v>
      </c>
      <c r="O131" s="1228"/>
      <c r="P131" s="1228"/>
      <c r="Q131" s="1228"/>
      <c r="R131" s="1228"/>
      <c r="S131" s="1228"/>
      <c r="T131" s="1228"/>
      <c r="U131" s="1228"/>
      <c r="V131" s="1228"/>
      <c r="W131" s="1228"/>
      <c r="X131" s="1228"/>
      <c r="Y131" s="1228"/>
      <c r="Z131" s="1228"/>
      <c r="AA131" s="1228">
        <f t="shared" si="81"/>
        <v>0</v>
      </c>
      <c r="AB131" s="1228">
        <f t="shared" si="82"/>
        <v>0</v>
      </c>
      <c r="AC131" s="677">
        <f t="shared" si="90"/>
        <v>0</v>
      </c>
      <c r="AD131" s="677">
        <f t="shared" si="84"/>
        <v>0</v>
      </c>
      <c r="AE131" s="1230">
        <f t="shared" si="85"/>
        <v>0</v>
      </c>
    </row>
    <row r="132" spans="1:31" x14ac:dyDescent="0.25">
      <c r="A132" s="1382" t="s">
        <v>871</v>
      </c>
      <c r="B132" s="637"/>
      <c r="C132" s="232"/>
      <c r="D132" s="232"/>
      <c r="E132" s="232"/>
      <c r="F132" s="232"/>
      <c r="G132" s="232"/>
      <c r="H132" s="232"/>
      <c r="I132" s="232"/>
      <c r="J132" s="232"/>
      <c r="K132" s="113">
        <f t="shared" si="89"/>
        <v>0</v>
      </c>
      <c r="L132" s="113">
        <f t="shared" si="86"/>
        <v>0</v>
      </c>
      <c r="M132" s="113">
        <f t="shared" si="91"/>
        <v>0</v>
      </c>
      <c r="N132" s="677">
        <f t="shared" si="92"/>
        <v>0</v>
      </c>
      <c r="O132" s="1228"/>
      <c r="P132" s="1228"/>
      <c r="Q132" s="1228"/>
      <c r="R132" s="1228"/>
      <c r="S132" s="1228"/>
      <c r="T132" s="1228"/>
      <c r="U132" s="1228"/>
      <c r="V132" s="1228"/>
      <c r="W132" s="1228"/>
      <c r="X132" s="1228"/>
      <c r="Y132" s="1228"/>
      <c r="Z132" s="1228"/>
      <c r="AA132" s="1228">
        <f t="shared" si="81"/>
        <v>0</v>
      </c>
      <c r="AB132" s="1228">
        <f t="shared" si="82"/>
        <v>0</v>
      </c>
      <c r="AC132" s="677">
        <f t="shared" si="90"/>
        <v>0</v>
      </c>
      <c r="AD132" s="677">
        <f t="shared" si="84"/>
        <v>0</v>
      </c>
      <c r="AE132" s="1230">
        <f t="shared" si="85"/>
        <v>0</v>
      </c>
    </row>
    <row r="133" spans="1:31" x14ac:dyDescent="0.25">
      <c r="A133" s="1380" t="s">
        <v>50</v>
      </c>
      <c r="B133" s="637" t="s">
        <v>51</v>
      </c>
      <c r="C133" s="232">
        <v>2000</v>
      </c>
      <c r="D133" s="232">
        <f>-2000</f>
        <v>-2000</v>
      </c>
      <c r="E133" s="232"/>
      <c r="F133" s="232"/>
      <c r="G133" s="232"/>
      <c r="H133" s="232"/>
      <c r="I133" s="232"/>
      <c r="J133" s="232"/>
      <c r="K133" s="113">
        <f t="shared" si="89"/>
        <v>0</v>
      </c>
      <c r="L133" s="113">
        <f t="shared" si="86"/>
        <v>0</v>
      </c>
      <c r="M133" s="113">
        <f t="shared" si="91"/>
        <v>0</v>
      </c>
      <c r="N133" s="677">
        <f t="shared" si="92"/>
        <v>0</v>
      </c>
      <c r="O133" s="1228"/>
      <c r="P133" s="1228"/>
      <c r="Q133" s="1228"/>
      <c r="R133" s="1228"/>
      <c r="S133" s="1228"/>
      <c r="T133" s="1228"/>
      <c r="U133" s="1228"/>
      <c r="V133" s="1228"/>
      <c r="W133" s="1228"/>
      <c r="X133" s="1228"/>
      <c r="Y133" s="1228"/>
      <c r="Z133" s="1228"/>
      <c r="AA133" s="1228">
        <f t="shared" si="81"/>
        <v>0</v>
      </c>
      <c r="AB133" s="1228">
        <f t="shared" si="82"/>
        <v>0</v>
      </c>
      <c r="AC133" s="677">
        <f t="shared" si="90"/>
        <v>0</v>
      </c>
      <c r="AD133" s="677">
        <f t="shared" si="84"/>
        <v>0</v>
      </c>
      <c r="AE133" s="1230">
        <f t="shared" si="85"/>
        <v>0</v>
      </c>
    </row>
    <row r="134" spans="1:31" x14ac:dyDescent="0.25">
      <c r="A134" s="1380" t="s">
        <v>484</v>
      </c>
      <c r="B134" s="637" t="s">
        <v>600</v>
      </c>
      <c r="C134" s="232">
        <v>40000</v>
      </c>
      <c r="D134" s="232">
        <f>-40000</f>
        <v>-40000</v>
      </c>
      <c r="E134" s="232"/>
      <c r="F134" s="232"/>
      <c r="G134" s="232"/>
      <c r="H134" s="232"/>
      <c r="I134" s="232"/>
      <c r="J134" s="232"/>
      <c r="K134" s="113">
        <f t="shared" si="89"/>
        <v>0</v>
      </c>
      <c r="L134" s="113">
        <f t="shared" si="86"/>
        <v>0</v>
      </c>
      <c r="M134" s="113">
        <f t="shared" si="91"/>
        <v>0</v>
      </c>
      <c r="N134" s="677">
        <f t="shared" si="92"/>
        <v>0</v>
      </c>
      <c r="O134" s="1228"/>
      <c r="P134" s="1228"/>
      <c r="Q134" s="1228"/>
      <c r="R134" s="1228"/>
      <c r="S134" s="1228"/>
      <c r="T134" s="1228"/>
      <c r="U134" s="1228"/>
      <c r="V134" s="1228"/>
      <c r="W134" s="1228"/>
      <c r="X134" s="1228"/>
      <c r="Y134" s="1228"/>
      <c r="Z134" s="1228"/>
      <c r="AA134" s="1228">
        <f t="shared" si="81"/>
        <v>0</v>
      </c>
      <c r="AB134" s="1228">
        <f t="shared" si="82"/>
        <v>0</v>
      </c>
      <c r="AC134" s="677">
        <f t="shared" si="90"/>
        <v>0</v>
      </c>
      <c r="AD134" s="677">
        <f t="shared" si="84"/>
        <v>0</v>
      </c>
      <c r="AE134" s="1230">
        <f t="shared" si="85"/>
        <v>0</v>
      </c>
    </row>
    <row r="135" spans="1:31" x14ac:dyDescent="0.25">
      <c r="A135" s="1380" t="s">
        <v>872</v>
      </c>
      <c r="B135" s="637" t="s">
        <v>87</v>
      </c>
      <c r="C135" s="232">
        <v>3000</v>
      </c>
      <c r="D135" s="232">
        <f>-3000</f>
        <v>-3000</v>
      </c>
      <c r="E135" s="232"/>
      <c r="F135" s="232"/>
      <c r="G135" s="232"/>
      <c r="H135" s="232"/>
      <c r="I135" s="232"/>
      <c r="J135" s="232"/>
      <c r="K135" s="113">
        <f t="shared" si="89"/>
        <v>0</v>
      </c>
      <c r="L135" s="113">
        <f t="shared" si="86"/>
        <v>0</v>
      </c>
      <c r="M135" s="113">
        <f t="shared" si="91"/>
        <v>0</v>
      </c>
      <c r="N135" s="677">
        <f t="shared" si="92"/>
        <v>0</v>
      </c>
      <c r="O135" s="1228"/>
      <c r="P135" s="1228"/>
      <c r="Q135" s="1228"/>
      <c r="R135" s="1228"/>
      <c r="S135" s="1228"/>
      <c r="T135" s="1228"/>
      <c r="U135" s="1228"/>
      <c r="V135" s="1228"/>
      <c r="W135" s="1228"/>
      <c r="X135" s="1228"/>
      <c r="Y135" s="1228"/>
      <c r="Z135" s="1228"/>
      <c r="AA135" s="1228">
        <f t="shared" si="81"/>
        <v>0</v>
      </c>
      <c r="AB135" s="1228">
        <f t="shared" si="82"/>
        <v>0</v>
      </c>
      <c r="AC135" s="677">
        <f t="shared" si="90"/>
        <v>0</v>
      </c>
      <c r="AD135" s="677">
        <f t="shared" si="84"/>
        <v>0</v>
      </c>
      <c r="AE135" s="1230">
        <f t="shared" si="85"/>
        <v>0</v>
      </c>
    </row>
    <row r="136" spans="1:31" x14ac:dyDescent="0.25">
      <c r="A136" s="1380" t="s">
        <v>253</v>
      </c>
      <c r="B136" s="637" t="s">
        <v>93</v>
      </c>
      <c r="C136" s="232">
        <v>5000</v>
      </c>
      <c r="D136" s="232">
        <f>-5000</f>
        <v>-5000</v>
      </c>
      <c r="E136" s="232"/>
      <c r="F136" s="232"/>
      <c r="G136" s="232"/>
      <c r="H136" s="232"/>
      <c r="I136" s="232"/>
      <c r="J136" s="232"/>
      <c r="K136" s="113">
        <f t="shared" si="89"/>
        <v>0</v>
      </c>
      <c r="L136" s="113">
        <f t="shared" si="86"/>
        <v>0</v>
      </c>
      <c r="M136" s="113">
        <f t="shared" si="91"/>
        <v>0</v>
      </c>
      <c r="N136" s="677">
        <f t="shared" si="92"/>
        <v>0</v>
      </c>
      <c r="O136" s="1228"/>
      <c r="P136" s="1228"/>
      <c r="Q136" s="1228"/>
      <c r="R136" s="1228"/>
      <c r="S136" s="1228"/>
      <c r="T136" s="1228"/>
      <c r="U136" s="1228"/>
      <c r="V136" s="1228"/>
      <c r="W136" s="1228"/>
      <c r="X136" s="1228"/>
      <c r="Y136" s="1228"/>
      <c r="Z136" s="1228"/>
      <c r="AA136" s="1228">
        <f t="shared" si="81"/>
        <v>0</v>
      </c>
      <c r="AB136" s="1228">
        <f t="shared" si="82"/>
        <v>0</v>
      </c>
      <c r="AC136" s="677">
        <f t="shared" si="90"/>
        <v>0</v>
      </c>
      <c r="AD136" s="677">
        <f t="shared" si="84"/>
        <v>0</v>
      </c>
      <c r="AE136" s="1230">
        <f t="shared" si="85"/>
        <v>0</v>
      </c>
    </row>
    <row r="137" spans="1:31" x14ac:dyDescent="0.25">
      <c r="A137" s="630" t="s">
        <v>108</v>
      </c>
      <c r="B137" s="1229"/>
      <c r="C137" s="1312">
        <f>SUM(C106:C136)</f>
        <v>1184833.81</v>
      </c>
      <c r="D137" s="1312">
        <f>SUM(D106:D136)</f>
        <v>-60000</v>
      </c>
      <c r="E137" s="1312">
        <f>SUM(E106:E136)</f>
        <v>0</v>
      </c>
      <c r="F137" s="1312">
        <f t="shared" ref="F137:AE137" si="93">SUM(F106:F136)</f>
        <v>0</v>
      </c>
      <c r="G137" s="1312">
        <f t="shared" ref="G137:J137" si="94">SUM(G106:G136)</f>
        <v>0</v>
      </c>
      <c r="H137" s="1312">
        <f t="shared" ref="H137" si="95">SUM(H106:H136)</f>
        <v>0</v>
      </c>
      <c r="I137" s="1312">
        <f t="shared" si="94"/>
        <v>0</v>
      </c>
      <c r="J137" s="1312">
        <f t="shared" si="94"/>
        <v>0</v>
      </c>
      <c r="K137" s="1312">
        <f t="shared" si="93"/>
        <v>1124833.81</v>
      </c>
      <c r="L137" s="1312">
        <f t="shared" si="93"/>
        <v>749889.20666666667</v>
      </c>
      <c r="M137" s="1312">
        <f t="shared" si="93"/>
        <v>93736.150833333333</v>
      </c>
      <c r="N137" s="1312">
        <f t="shared" si="93"/>
        <v>843625.35750000004</v>
      </c>
      <c r="O137" s="1312">
        <f t="shared" si="93"/>
        <v>0</v>
      </c>
      <c r="P137" s="1312">
        <f t="shared" si="93"/>
        <v>0</v>
      </c>
      <c r="Q137" s="1312">
        <f t="shared" si="93"/>
        <v>183804.32</v>
      </c>
      <c r="R137" s="1312">
        <f t="shared" si="93"/>
        <v>0</v>
      </c>
      <c r="S137" s="1312">
        <f t="shared" si="93"/>
        <v>156444.32999999999</v>
      </c>
      <c r="T137" s="1312">
        <f t="shared" si="93"/>
        <v>138317</v>
      </c>
      <c r="U137" s="1312">
        <f t="shared" si="93"/>
        <v>57903.92</v>
      </c>
      <c r="V137" s="1312">
        <f t="shared" si="93"/>
        <v>26160</v>
      </c>
      <c r="W137" s="1312">
        <f t="shared" si="93"/>
        <v>168840</v>
      </c>
      <c r="X137" s="1312">
        <f t="shared" si="93"/>
        <v>32510</v>
      </c>
      <c r="Y137" s="1312">
        <f t="shared" si="93"/>
        <v>0</v>
      </c>
      <c r="Z137" s="1312">
        <f t="shared" si="93"/>
        <v>0</v>
      </c>
      <c r="AA137" s="1312">
        <f t="shared" si="93"/>
        <v>731469.57</v>
      </c>
      <c r="AB137" s="1312">
        <f t="shared" si="93"/>
        <v>32510</v>
      </c>
      <c r="AC137" s="1312">
        <f t="shared" si="93"/>
        <v>763979.57</v>
      </c>
      <c r="AD137" s="1312">
        <f t="shared" si="93"/>
        <v>79645.787500000035</v>
      </c>
      <c r="AE137" s="1312">
        <f t="shared" si="93"/>
        <v>360854.24000000005</v>
      </c>
    </row>
    <row r="138" spans="1:31" ht="15.75" thickBot="1" x14ac:dyDescent="0.3">
      <c r="A138" s="616" t="s">
        <v>160</v>
      </c>
      <c r="B138" s="1383"/>
      <c r="C138" s="1384">
        <f>C137</f>
        <v>1184833.81</v>
      </c>
      <c r="D138" s="1384">
        <f>D137</f>
        <v>-60000</v>
      </c>
      <c r="E138" s="1384">
        <f>E137</f>
        <v>0</v>
      </c>
      <c r="F138" s="1384">
        <f t="shared" ref="F138:AE138" si="96">F137</f>
        <v>0</v>
      </c>
      <c r="G138" s="1384">
        <f t="shared" ref="G138:J138" si="97">G137</f>
        <v>0</v>
      </c>
      <c r="H138" s="1384">
        <f t="shared" ref="H138" si="98">H137</f>
        <v>0</v>
      </c>
      <c r="I138" s="1384">
        <f t="shared" si="97"/>
        <v>0</v>
      </c>
      <c r="J138" s="1384">
        <f t="shared" si="97"/>
        <v>0</v>
      </c>
      <c r="K138" s="1384">
        <f t="shared" si="96"/>
        <v>1124833.81</v>
      </c>
      <c r="L138" s="1384">
        <f t="shared" si="96"/>
        <v>749889.20666666667</v>
      </c>
      <c r="M138" s="1384">
        <f t="shared" si="96"/>
        <v>93736.150833333333</v>
      </c>
      <c r="N138" s="1384">
        <f t="shared" si="96"/>
        <v>843625.35750000004</v>
      </c>
      <c r="O138" s="1384">
        <f t="shared" si="96"/>
        <v>0</v>
      </c>
      <c r="P138" s="1384">
        <f t="shared" si="96"/>
        <v>0</v>
      </c>
      <c r="Q138" s="1384">
        <f t="shared" si="96"/>
        <v>183804.32</v>
      </c>
      <c r="R138" s="1384">
        <f t="shared" si="96"/>
        <v>0</v>
      </c>
      <c r="S138" s="1384">
        <f t="shared" si="96"/>
        <v>156444.32999999999</v>
      </c>
      <c r="T138" s="1384">
        <f t="shared" si="96"/>
        <v>138317</v>
      </c>
      <c r="U138" s="1384">
        <f t="shared" si="96"/>
        <v>57903.92</v>
      </c>
      <c r="V138" s="1384">
        <f t="shared" si="96"/>
        <v>26160</v>
      </c>
      <c r="W138" s="1384">
        <f t="shared" si="96"/>
        <v>168840</v>
      </c>
      <c r="X138" s="1384">
        <f t="shared" si="96"/>
        <v>32510</v>
      </c>
      <c r="Y138" s="1384">
        <f t="shared" si="96"/>
        <v>0</v>
      </c>
      <c r="Z138" s="1384">
        <f t="shared" si="96"/>
        <v>0</v>
      </c>
      <c r="AA138" s="1384">
        <f t="shared" si="96"/>
        <v>731469.57</v>
      </c>
      <c r="AB138" s="1384">
        <f t="shared" si="96"/>
        <v>32510</v>
      </c>
      <c r="AC138" s="1384">
        <f t="shared" si="96"/>
        <v>763979.57</v>
      </c>
      <c r="AD138" s="1384">
        <f t="shared" si="96"/>
        <v>79645.787500000035</v>
      </c>
      <c r="AE138" s="1384">
        <f t="shared" si="96"/>
        <v>360854.24000000005</v>
      </c>
    </row>
    <row r="139" spans="1:31" ht="15.75" thickTop="1" x14ac:dyDescent="0.25"/>
    <row r="140" spans="1:31" x14ac:dyDescent="0.25">
      <c r="A140" s="1090" t="s">
        <v>354</v>
      </c>
      <c r="B140" s="1363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AD140" s="1364" t="s">
        <v>357</v>
      </c>
    </row>
    <row r="143" spans="1:31" x14ac:dyDescent="0.25">
      <c r="B143" s="1365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</row>
    <row r="144" spans="1:31" x14ac:dyDescent="0.25">
      <c r="A144" s="1366" t="s">
        <v>355</v>
      </c>
      <c r="B144" s="1367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AD144" s="1368" t="s">
        <v>358</v>
      </c>
    </row>
    <row r="145" spans="1:30" x14ac:dyDescent="0.25">
      <c r="A145" s="1364" t="s">
        <v>356</v>
      </c>
      <c r="AD145" s="1364" t="s">
        <v>359</v>
      </c>
    </row>
  </sheetData>
  <mergeCells count="6">
    <mergeCell ref="A100:AE100"/>
    <mergeCell ref="A1:AE1"/>
    <mergeCell ref="A2:AE2"/>
    <mergeCell ref="A3:AE3"/>
    <mergeCell ref="A98:AE98"/>
    <mergeCell ref="A99:AE99"/>
  </mergeCells>
  <printOptions horizontalCentered="1" headings="1"/>
  <pageMargins left="0.95" right="0.2" top="1.25" bottom="0.25" header="0.3" footer="0.3"/>
  <pageSetup paperSize="5" scale="53" orientation="landscape" r:id="rId1"/>
  <rowBreaks count="2" manualBreakCount="2">
    <brk id="51" max="28" man="1"/>
    <brk id="97" max="2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9"/>
  <sheetViews>
    <sheetView view="pageBreakPreview" topLeftCell="A84" zoomScale="82" zoomScaleNormal="100" zoomScaleSheetLayoutView="82" workbookViewId="0">
      <pane xSplit="1" topLeftCell="AD1" activePane="topRight" state="frozen"/>
      <selection pane="topRight" activeCell="AJ92" sqref="AJ91:AJ92"/>
    </sheetView>
  </sheetViews>
  <sheetFormatPr defaultRowHeight="15" outlineLevelCol="1" x14ac:dyDescent="0.25"/>
  <cols>
    <col min="1" max="1" width="45" style="21" customWidth="1"/>
    <col min="2" max="3" width="12.7109375" style="21" customWidth="1"/>
    <col min="4" max="13" width="12.7109375" style="987" customWidth="1"/>
    <col min="14" max="17" width="12.7109375" style="21" customWidth="1"/>
    <col min="18" max="27" width="12.7109375" style="303" hidden="1" customWidth="1" outlineLevel="1"/>
    <col min="28" max="29" width="12.7109375" style="21" hidden="1" customWidth="1" outlineLevel="1"/>
    <col min="30" max="30" width="12.7109375" style="21" customWidth="1" collapsed="1"/>
    <col min="31" max="33" width="12.7109375" style="21" customWidth="1"/>
    <col min="34" max="34" width="13.28515625" style="21" customWidth="1"/>
    <col min="35" max="16384" width="9.140625" style="21"/>
  </cols>
  <sheetData>
    <row r="1" spans="1:34" x14ac:dyDescent="0.25">
      <c r="A1" s="1432" t="s">
        <v>352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1432"/>
      <c r="M1" s="1432"/>
      <c r="N1" s="1432"/>
      <c r="O1" s="1432"/>
      <c r="P1" s="1432"/>
      <c r="Q1" s="1432"/>
      <c r="R1" s="1432"/>
      <c r="S1" s="1432"/>
      <c r="T1" s="1432"/>
      <c r="U1" s="1432"/>
      <c r="V1" s="1432"/>
      <c r="W1" s="1432"/>
      <c r="X1" s="1432"/>
      <c r="Y1" s="1432"/>
      <c r="Z1" s="1432"/>
      <c r="AA1" s="1432"/>
      <c r="AB1" s="1432"/>
      <c r="AC1" s="1432"/>
      <c r="AD1" s="1432"/>
      <c r="AE1" s="1432"/>
      <c r="AF1" s="1432"/>
      <c r="AG1" s="1432"/>
      <c r="AH1" s="1432"/>
    </row>
    <row r="2" spans="1:34" x14ac:dyDescent="0.25">
      <c r="A2" s="1432" t="s">
        <v>353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1432"/>
      <c r="Y2" s="1432"/>
      <c r="Z2" s="1432"/>
      <c r="AA2" s="1432"/>
      <c r="AB2" s="1432"/>
      <c r="AC2" s="1432"/>
      <c r="AD2" s="1432"/>
      <c r="AE2" s="1432"/>
      <c r="AF2" s="1432"/>
      <c r="AG2" s="1432"/>
      <c r="AH2" s="1432"/>
    </row>
    <row r="3" spans="1:34" ht="15.75" thickBot="1" x14ac:dyDescent="0.3">
      <c r="A3" s="1433" t="str">
        <f>'8711-MAGO'!A3:AE3</f>
        <v>For the Period October 1-31, 2021</v>
      </c>
      <c r="B3" s="1433"/>
      <c r="C3" s="1433"/>
      <c r="D3" s="1433"/>
      <c r="E3" s="1433"/>
      <c r="F3" s="1433"/>
      <c r="G3" s="1433"/>
      <c r="H3" s="1433"/>
      <c r="I3" s="1433"/>
      <c r="J3" s="1433"/>
      <c r="K3" s="1433"/>
      <c r="L3" s="1433"/>
      <c r="M3" s="1433"/>
      <c r="N3" s="1433"/>
      <c r="O3" s="1433"/>
      <c r="P3" s="1433"/>
      <c r="Q3" s="1433"/>
      <c r="R3" s="1433"/>
      <c r="S3" s="1433"/>
      <c r="T3" s="1433"/>
      <c r="U3" s="1433"/>
      <c r="V3" s="1433"/>
      <c r="W3" s="1433"/>
      <c r="X3" s="1433"/>
      <c r="Y3" s="1433"/>
      <c r="Z3" s="1433"/>
      <c r="AA3" s="1433"/>
      <c r="AB3" s="1433"/>
      <c r="AC3" s="1433"/>
      <c r="AD3" s="1433"/>
      <c r="AE3" s="1433"/>
      <c r="AF3" s="1433"/>
      <c r="AG3" s="1433"/>
      <c r="AH3" s="1433"/>
    </row>
    <row r="4" spans="1:34" ht="27" thickTop="1" x14ac:dyDescent="0.25">
      <c r="A4" s="71" t="s">
        <v>347</v>
      </c>
      <c r="B4" s="18" t="s">
        <v>2</v>
      </c>
      <c r="C4" s="18" t="s">
        <v>133</v>
      </c>
      <c r="D4" s="1073" t="s">
        <v>1204</v>
      </c>
      <c r="E4" s="1073" t="s">
        <v>1204</v>
      </c>
      <c r="F4" s="1073" t="s">
        <v>1204</v>
      </c>
      <c r="G4" s="1073" t="s">
        <v>1373</v>
      </c>
      <c r="H4" s="711" t="s">
        <v>1327</v>
      </c>
      <c r="I4" s="1073" t="s">
        <v>1204</v>
      </c>
      <c r="J4" s="1073" t="s">
        <v>1204</v>
      </c>
      <c r="K4" s="1073" t="s">
        <v>1204</v>
      </c>
      <c r="L4" s="1073" t="s">
        <v>1343</v>
      </c>
      <c r="M4" s="1073" t="s">
        <v>1232</v>
      </c>
      <c r="N4" s="38" t="s">
        <v>1</v>
      </c>
      <c r="O4" s="38" t="s">
        <v>316</v>
      </c>
      <c r="P4" s="38" t="s">
        <v>314</v>
      </c>
      <c r="Q4" s="41" t="s">
        <v>346</v>
      </c>
      <c r="R4" s="19"/>
      <c r="S4" s="19"/>
      <c r="T4" s="19"/>
      <c r="U4" s="19"/>
      <c r="V4" s="24"/>
      <c r="W4" s="24"/>
      <c r="X4" s="24"/>
      <c r="Y4" s="24"/>
      <c r="Z4" s="24"/>
      <c r="AA4" s="24"/>
      <c r="AB4" s="24"/>
      <c r="AC4" s="24"/>
      <c r="AD4" s="74" t="s">
        <v>316</v>
      </c>
      <c r="AE4" s="74" t="s">
        <v>348</v>
      </c>
      <c r="AF4" s="74" t="s">
        <v>1</v>
      </c>
      <c r="AG4" s="74" t="s">
        <v>131</v>
      </c>
      <c r="AH4" s="74" t="s">
        <v>131</v>
      </c>
    </row>
    <row r="5" spans="1:34" ht="15.75" thickBot="1" x14ac:dyDescent="0.3">
      <c r="A5" s="25"/>
      <c r="B5" s="25" t="s">
        <v>3</v>
      </c>
      <c r="C5" s="25" t="s">
        <v>134</v>
      </c>
      <c r="D5" s="1009" t="s">
        <v>1396</v>
      </c>
      <c r="E5" s="1009" t="s">
        <v>1394</v>
      </c>
      <c r="F5" s="1009" t="s">
        <v>1391</v>
      </c>
      <c r="G5" s="1101">
        <v>44459</v>
      </c>
      <c r="H5" s="711" t="s">
        <v>1323</v>
      </c>
      <c r="I5" s="1009" t="s">
        <v>1369</v>
      </c>
      <c r="J5" s="1009" t="s">
        <v>1184</v>
      </c>
      <c r="K5" s="1009" t="s">
        <v>1354</v>
      </c>
      <c r="L5" s="1224" t="s">
        <v>1344</v>
      </c>
      <c r="M5" s="1101">
        <v>44305</v>
      </c>
      <c r="N5" s="96" t="s">
        <v>314</v>
      </c>
      <c r="O5" s="96" t="s">
        <v>314</v>
      </c>
      <c r="P5" s="96" t="s">
        <v>315</v>
      </c>
      <c r="Q5" s="98" t="s">
        <v>315</v>
      </c>
      <c r="R5" s="27" t="s">
        <v>0</v>
      </c>
      <c r="S5" s="27" t="s">
        <v>120</v>
      </c>
      <c r="T5" s="27" t="s">
        <v>121</v>
      </c>
      <c r="U5" s="27" t="s">
        <v>122</v>
      </c>
      <c r="V5" s="27" t="s">
        <v>123</v>
      </c>
      <c r="W5" s="27" t="s">
        <v>124</v>
      </c>
      <c r="X5" s="27" t="s">
        <v>125</v>
      </c>
      <c r="Y5" s="27" t="s">
        <v>126</v>
      </c>
      <c r="Z5" s="27" t="s">
        <v>127</v>
      </c>
      <c r="AA5" s="27" t="s">
        <v>128</v>
      </c>
      <c r="AB5" s="27" t="s">
        <v>129</v>
      </c>
      <c r="AC5" s="27" t="s">
        <v>130</v>
      </c>
      <c r="AD5" s="75" t="s">
        <v>317</v>
      </c>
      <c r="AE5" s="75" t="s">
        <v>315</v>
      </c>
      <c r="AF5" s="75" t="s">
        <v>317</v>
      </c>
      <c r="AG5" s="75" t="s">
        <v>314</v>
      </c>
      <c r="AH5" s="75" t="s">
        <v>132</v>
      </c>
    </row>
    <row r="6" spans="1:34" ht="16.5" thickTop="1" thickBot="1" x14ac:dyDescent="0.3">
      <c r="A6" s="642" t="s">
        <v>874</v>
      </c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367"/>
      <c r="AC6" s="367"/>
      <c r="AD6" s="367"/>
      <c r="AE6" s="367"/>
      <c r="AF6" s="367"/>
      <c r="AG6" s="367"/>
      <c r="AH6" s="367"/>
    </row>
    <row r="7" spans="1:34" ht="15.75" thickTop="1" x14ac:dyDescent="0.25">
      <c r="A7" s="184" t="s">
        <v>658</v>
      </c>
      <c r="B7" s="94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367"/>
      <c r="Q7" s="188"/>
      <c r="R7" s="265"/>
      <c r="S7" s="265"/>
      <c r="T7" s="265"/>
      <c r="U7" s="265"/>
      <c r="V7" s="997"/>
      <c r="W7" s="997"/>
      <c r="X7" s="997"/>
      <c r="Y7" s="997"/>
      <c r="Z7" s="997"/>
      <c r="AA7" s="997"/>
      <c r="AB7" s="188"/>
      <c r="AC7" s="188"/>
      <c r="AD7" s="188"/>
      <c r="AE7" s="188"/>
      <c r="AF7" s="716"/>
      <c r="AG7" s="40"/>
      <c r="AH7" s="188"/>
    </row>
    <row r="8" spans="1:34" x14ac:dyDescent="0.25">
      <c r="A8" s="363" t="s">
        <v>659</v>
      </c>
      <c r="B8" s="87" t="s">
        <v>6</v>
      </c>
      <c r="C8" s="40">
        <v>1443195</v>
      </c>
      <c r="D8" s="989"/>
      <c r="E8" s="989"/>
      <c r="F8" s="989"/>
      <c r="G8" s="989">
        <f>-11520</f>
        <v>-11520</v>
      </c>
      <c r="H8" s="989">
        <f>-23040</f>
        <v>-23040</v>
      </c>
      <c r="I8" s="989"/>
      <c r="J8" s="989"/>
      <c r="K8" s="989"/>
      <c r="L8" s="989">
        <f>-46080</f>
        <v>-46080</v>
      </c>
      <c r="M8" s="989"/>
      <c r="N8" s="989">
        <f>SUM(C8:M8)</f>
        <v>1362555</v>
      </c>
      <c r="O8" s="40">
        <f>N8/12*9</f>
        <v>1021916.25</v>
      </c>
      <c r="P8" s="40">
        <f>N8/12*1</f>
        <v>113546.25</v>
      </c>
      <c r="Q8" s="40">
        <f>O8+P8</f>
        <v>1135462.5</v>
      </c>
      <c r="R8" s="265">
        <v>86617</v>
      </c>
      <c r="S8" s="997">
        <v>86617</v>
      </c>
      <c r="T8" s="997">
        <v>86617</v>
      </c>
      <c r="U8" s="265">
        <v>95548.5</v>
      </c>
      <c r="V8" s="997">
        <v>89980</v>
      </c>
      <c r="W8" s="997">
        <v>89980</v>
      </c>
      <c r="X8" s="997">
        <v>89980</v>
      </c>
      <c r="Y8" s="997">
        <v>89980</v>
      </c>
      <c r="Z8" s="997">
        <v>89980</v>
      </c>
      <c r="AA8" s="997">
        <v>89980</v>
      </c>
      <c r="AB8" s="188"/>
      <c r="AC8" s="188"/>
      <c r="AD8" s="996">
        <f>R8+S8+T8+U8+V8+W8+X8+Y8+Z8</f>
        <v>805299.5</v>
      </c>
      <c r="AE8" s="265">
        <f>AA8</f>
        <v>89980</v>
      </c>
      <c r="AF8" s="716">
        <f>AD8+AE8</f>
        <v>895279.5</v>
      </c>
      <c r="AG8" s="40">
        <f>Q8-AF8</f>
        <v>240183</v>
      </c>
      <c r="AH8" s="322">
        <f>N8-AF8</f>
        <v>467275.5</v>
      </c>
    </row>
    <row r="9" spans="1:34" hidden="1" x14ac:dyDescent="0.25">
      <c r="A9" s="200" t="s">
        <v>660</v>
      </c>
      <c r="B9" s="87"/>
      <c r="C9" s="40"/>
      <c r="D9" s="989"/>
      <c r="E9" s="989"/>
      <c r="F9" s="989"/>
      <c r="G9" s="989"/>
      <c r="H9" s="989"/>
      <c r="I9" s="989"/>
      <c r="J9" s="989"/>
      <c r="K9" s="989"/>
      <c r="L9" s="989"/>
      <c r="M9" s="989"/>
      <c r="N9" s="989">
        <f t="shared" ref="N9:N29" si="0">SUM(C9:M9)</f>
        <v>0</v>
      </c>
      <c r="O9" s="989">
        <f t="shared" ref="O9:O29" si="1">N9/12*9</f>
        <v>0</v>
      </c>
      <c r="P9" s="989">
        <f t="shared" ref="P9:P28" si="2">N9/12*1</f>
        <v>0</v>
      </c>
      <c r="Q9" s="40">
        <f t="shared" ref="Q9:Q28" si="3">O9+P9</f>
        <v>0</v>
      </c>
      <c r="R9" s="265"/>
      <c r="S9" s="997"/>
      <c r="T9" s="997"/>
      <c r="U9" s="265"/>
      <c r="V9" s="997"/>
      <c r="W9" s="997"/>
      <c r="X9" s="997"/>
      <c r="Y9" s="997"/>
      <c r="Z9" s="997"/>
      <c r="AA9" s="997"/>
      <c r="AB9" s="188"/>
      <c r="AC9" s="188"/>
      <c r="AD9" s="996">
        <f t="shared" ref="AD9:AD29" si="4">R9+S9+T9+U9+V9+W9+X9+Y9+Z9</f>
        <v>0</v>
      </c>
      <c r="AE9" s="997">
        <f t="shared" ref="AE9:AE29" si="5">AA9</f>
        <v>0</v>
      </c>
      <c r="AF9" s="989">
        <f t="shared" ref="AF9:AF29" si="6">AD9+AE9</f>
        <v>0</v>
      </c>
      <c r="AG9" s="989">
        <f t="shared" ref="AG9:AG29" si="7">Q9-AF9</f>
        <v>0</v>
      </c>
      <c r="AH9" s="996">
        <f t="shared" ref="AH9:AH29" si="8">N9-AF9</f>
        <v>0</v>
      </c>
    </row>
    <row r="10" spans="1:34" x14ac:dyDescent="0.25">
      <c r="A10" s="511" t="s">
        <v>661</v>
      </c>
      <c r="C10" s="52"/>
      <c r="D10" s="720"/>
      <c r="E10" s="720"/>
      <c r="F10" s="720"/>
      <c r="G10" s="720"/>
      <c r="H10" s="720"/>
      <c r="I10" s="720"/>
      <c r="J10" s="720"/>
      <c r="K10" s="720"/>
      <c r="L10" s="720"/>
      <c r="M10" s="720"/>
      <c r="N10" s="989">
        <f t="shared" si="0"/>
        <v>0</v>
      </c>
      <c r="O10" s="989">
        <f t="shared" si="1"/>
        <v>0</v>
      </c>
      <c r="P10" s="989">
        <f t="shared" si="2"/>
        <v>0</v>
      </c>
      <c r="Q10" s="40">
        <f t="shared" si="3"/>
        <v>0</v>
      </c>
      <c r="R10" s="265"/>
      <c r="S10" s="997"/>
      <c r="T10" s="997"/>
      <c r="U10" s="265"/>
      <c r="V10" s="997"/>
      <c r="W10" s="997"/>
      <c r="X10" s="997"/>
      <c r="Y10" s="997"/>
      <c r="Z10" s="997"/>
      <c r="AA10" s="997"/>
      <c r="AB10" s="188"/>
      <c r="AC10" s="188"/>
      <c r="AD10" s="996">
        <f t="shared" si="4"/>
        <v>0</v>
      </c>
      <c r="AE10" s="997">
        <f t="shared" si="5"/>
        <v>0</v>
      </c>
      <c r="AF10" s="989">
        <f t="shared" si="6"/>
        <v>0</v>
      </c>
      <c r="AG10" s="989">
        <f t="shared" si="7"/>
        <v>0</v>
      </c>
      <c r="AH10" s="996">
        <f t="shared" si="8"/>
        <v>0</v>
      </c>
    </row>
    <row r="11" spans="1:34" x14ac:dyDescent="0.25">
      <c r="A11" s="200" t="s">
        <v>662</v>
      </c>
      <c r="B11" s="169" t="s">
        <v>11</v>
      </c>
      <c r="C11" s="52">
        <v>96000</v>
      </c>
      <c r="D11" s="720"/>
      <c r="E11" s="720"/>
      <c r="F11" s="720"/>
      <c r="G11" s="720">
        <f>-4000</f>
        <v>-4000</v>
      </c>
      <c r="H11" s="720">
        <f>-4000</f>
        <v>-4000</v>
      </c>
      <c r="I11" s="720"/>
      <c r="J11" s="720"/>
      <c r="K11" s="720"/>
      <c r="L11" s="720"/>
      <c r="M11" s="720"/>
      <c r="N11" s="989">
        <f t="shared" si="0"/>
        <v>88000</v>
      </c>
      <c r="O11" s="989">
        <f t="shared" si="1"/>
        <v>66000</v>
      </c>
      <c r="P11" s="989">
        <f t="shared" si="2"/>
        <v>7333.333333333333</v>
      </c>
      <c r="Q11" s="40">
        <f t="shared" si="3"/>
        <v>73333.333333333328</v>
      </c>
      <c r="R11" s="265">
        <v>4000</v>
      </c>
      <c r="S11" s="997">
        <v>4000</v>
      </c>
      <c r="T11" s="997">
        <v>4000</v>
      </c>
      <c r="U11" s="265">
        <v>4000</v>
      </c>
      <c r="V11" s="997">
        <v>4000</v>
      </c>
      <c r="W11" s="997">
        <v>4000</v>
      </c>
      <c r="X11" s="997">
        <v>4000</v>
      </c>
      <c r="Y11" s="997">
        <v>4000</v>
      </c>
      <c r="Z11" s="997">
        <v>4000</v>
      </c>
      <c r="AA11" s="997">
        <v>4000</v>
      </c>
      <c r="AB11" s="188"/>
      <c r="AC11" s="188"/>
      <c r="AD11" s="996">
        <f t="shared" si="4"/>
        <v>36000</v>
      </c>
      <c r="AE11" s="997">
        <f t="shared" si="5"/>
        <v>4000</v>
      </c>
      <c r="AF11" s="989">
        <f t="shared" si="6"/>
        <v>40000</v>
      </c>
      <c r="AG11" s="989">
        <f t="shared" si="7"/>
        <v>33333.333333333328</v>
      </c>
      <c r="AH11" s="996">
        <f t="shared" si="8"/>
        <v>48000</v>
      </c>
    </row>
    <row r="12" spans="1:34" x14ac:dyDescent="0.25">
      <c r="A12" s="200" t="s">
        <v>663</v>
      </c>
      <c r="B12" s="87" t="s">
        <v>13</v>
      </c>
      <c r="C12" s="52">
        <v>72000</v>
      </c>
      <c r="D12" s="720"/>
      <c r="E12" s="720"/>
      <c r="F12" s="720"/>
      <c r="G12" s="720"/>
      <c r="H12" s="720"/>
      <c r="I12" s="720"/>
      <c r="J12" s="720"/>
      <c r="K12" s="720"/>
      <c r="L12" s="720"/>
      <c r="M12" s="720"/>
      <c r="N12" s="989">
        <f t="shared" si="0"/>
        <v>72000</v>
      </c>
      <c r="O12" s="989">
        <f t="shared" si="1"/>
        <v>54000</v>
      </c>
      <c r="P12" s="989">
        <f t="shared" si="2"/>
        <v>6000</v>
      </c>
      <c r="Q12" s="40">
        <f t="shared" si="3"/>
        <v>60000</v>
      </c>
      <c r="R12" s="265">
        <v>6000</v>
      </c>
      <c r="S12" s="997">
        <v>6000</v>
      </c>
      <c r="T12" s="997">
        <v>6000</v>
      </c>
      <c r="U12" s="265">
        <v>6000</v>
      </c>
      <c r="V12" s="997">
        <v>6000</v>
      </c>
      <c r="W12" s="997">
        <v>6000</v>
      </c>
      <c r="X12" s="997">
        <v>6000</v>
      </c>
      <c r="Y12" s="997">
        <v>6000</v>
      </c>
      <c r="Z12" s="997">
        <v>6000</v>
      </c>
      <c r="AA12" s="997">
        <v>6000</v>
      </c>
      <c r="AB12" s="188"/>
      <c r="AC12" s="188"/>
      <c r="AD12" s="996">
        <f t="shared" si="4"/>
        <v>54000</v>
      </c>
      <c r="AE12" s="997">
        <f t="shared" si="5"/>
        <v>6000</v>
      </c>
      <c r="AF12" s="989">
        <f t="shared" si="6"/>
        <v>60000</v>
      </c>
      <c r="AG12" s="989">
        <f t="shared" si="7"/>
        <v>0</v>
      </c>
      <c r="AH12" s="996">
        <f t="shared" si="8"/>
        <v>12000</v>
      </c>
    </row>
    <row r="13" spans="1:34" x14ac:dyDescent="0.25">
      <c r="A13" s="200" t="s">
        <v>664</v>
      </c>
      <c r="B13" s="186" t="s">
        <v>15</v>
      </c>
      <c r="C13" s="52">
        <v>72000</v>
      </c>
      <c r="D13" s="720"/>
      <c r="E13" s="720"/>
      <c r="F13" s="720"/>
      <c r="G13" s="720"/>
      <c r="H13" s="720"/>
      <c r="I13" s="720"/>
      <c r="J13" s="720"/>
      <c r="K13" s="720"/>
      <c r="L13" s="720"/>
      <c r="M13" s="720"/>
      <c r="N13" s="989">
        <f t="shared" si="0"/>
        <v>72000</v>
      </c>
      <c r="O13" s="989">
        <f t="shared" si="1"/>
        <v>54000</v>
      </c>
      <c r="P13" s="989">
        <f t="shared" si="2"/>
        <v>6000</v>
      </c>
      <c r="Q13" s="40">
        <f t="shared" si="3"/>
        <v>60000</v>
      </c>
      <c r="R13" s="265">
        <v>6000</v>
      </c>
      <c r="S13" s="997">
        <v>6000</v>
      </c>
      <c r="T13" s="997">
        <v>6000</v>
      </c>
      <c r="U13" s="265">
        <v>6000</v>
      </c>
      <c r="V13" s="997">
        <v>6000</v>
      </c>
      <c r="W13" s="997">
        <v>6000</v>
      </c>
      <c r="X13" s="997">
        <v>6000</v>
      </c>
      <c r="Y13" s="997">
        <v>6000</v>
      </c>
      <c r="Z13" s="997">
        <v>6000</v>
      </c>
      <c r="AA13" s="997">
        <v>6000</v>
      </c>
      <c r="AB13" s="188"/>
      <c r="AC13" s="188"/>
      <c r="AD13" s="996">
        <f t="shared" si="4"/>
        <v>54000</v>
      </c>
      <c r="AE13" s="997">
        <f t="shared" si="5"/>
        <v>6000</v>
      </c>
      <c r="AF13" s="989">
        <f t="shared" si="6"/>
        <v>60000</v>
      </c>
      <c r="AG13" s="989">
        <f t="shared" si="7"/>
        <v>0</v>
      </c>
      <c r="AH13" s="996">
        <f t="shared" si="8"/>
        <v>12000</v>
      </c>
    </row>
    <row r="14" spans="1:34" x14ac:dyDescent="0.25">
      <c r="A14" s="200" t="s">
        <v>665</v>
      </c>
      <c r="B14" s="169" t="s">
        <v>17</v>
      </c>
      <c r="C14" s="52">
        <v>24000</v>
      </c>
      <c r="D14" s="720"/>
      <c r="E14" s="720"/>
      <c r="F14" s="720"/>
      <c r="G14" s="720"/>
      <c r="H14" s="720"/>
      <c r="I14" s="720"/>
      <c r="J14" s="720"/>
      <c r="K14" s="720"/>
      <c r="L14" s="720"/>
      <c r="M14" s="720"/>
      <c r="N14" s="989">
        <f t="shared" si="0"/>
        <v>24000</v>
      </c>
      <c r="O14" s="989">
        <f>N14/12*11</f>
        <v>22000</v>
      </c>
      <c r="P14" s="989">
        <f t="shared" si="2"/>
        <v>2000</v>
      </c>
      <c r="Q14" s="40">
        <f t="shared" si="3"/>
        <v>24000</v>
      </c>
      <c r="R14" s="265">
        <v>8000</v>
      </c>
      <c r="S14" s="997"/>
      <c r="T14" s="997"/>
      <c r="U14" s="265"/>
      <c r="V14" s="997"/>
      <c r="W14" s="997"/>
      <c r="X14" s="997"/>
      <c r="Y14" s="997"/>
      <c r="Z14" s="997"/>
      <c r="AA14" s="708">
        <v>1650</v>
      </c>
      <c r="AB14" s="188"/>
      <c r="AC14" s="188"/>
      <c r="AD14" s="996">
        <f t="shared" si="4"/>
        <v>8000</v>
      </c>
      <c r="AE14" s="997">
        <f t="shared" si="5"/>
        <v>1650</v>
      </c>
      <c r="AF14" s="989">
        <f t="shared" si="6"/>
        <v>9650</v>
      </c>
      <c r="AG14" s="989">
        <f t="shared" si="7"/>
        <v>14350</v>
      </c>
      <c r="AH14" s="996">
        <f t="shared" si="8"/>
        <v>14350</v>
      </c>
    </row>
    <row r="15" spans="1:34" x14ac:dyDescent="0.25">
      <c r="A15" s="200" t="s">
        <v>666</v>
      </c>
      <c r="B15" s="169" t="s">
        <v>21</v>
      </c>
      <c r="C15" s="52"/>
      <c r="D15" s="720"/>
      <c r="E15" s="720"/>
      <c r="F15" s="720"/>
      <c r="G15" s="720"/>
      <c r="H15" s="720"/>
      <c r="I15" s="720"/>
      <c r="J15" s="720"/>
      <c r="K15" s="720"/>
      <c r="L15" s="720"/>
      <c r="M15" s="720"/>
      <c r="N15" s="989">
        <f t="shared" si="0"/>
        <v>0</v>
      </c>
      <c r="O15" s="989">
        <f t="shared" si="1"/>
        <v>0</v>
      </c>
      <c r="P15" s="989">
        <f t="shared" si="2"/>
        <v>0</v>
      </c>
      <c r="Q15" s="40">
        <f t="shared" si="3"/>
        <v>0</v>
      </c>
      <c r="R15" s="265"/>
      <c r="S15" s="997"/>
      <c r="T15" s="997"/>
      <c r="U15" s="265"/>
      <c r="V15" s="997"/>
      <c r="W15" s="997"/>
      <c r="X15" s="997"/>
      <c r="Y15" s="997"/>
      <c r="Z15" s="997"/>
      <c r="AA15" s="997"/>
      <c r="AB15" s="188"/>
      <c r="AC15" s="188"/>
      <c r="AD15" s="996">
        <f t="shared" si="4"/>
        <v>0</v>
      </c>
      <c r="AE15" s="997">
        <f t="shared" si="5"/>
        <v>0</v>
      </c>
      <c r="AF15" s="989">
        <f t="shared" si="6"/>
        <v>0</v>
      </c>
      <c r="AG15" s="989">
        <f t="shared" si="7"/>
        <v>0</v>
      </c>
      <c r="AH15" s="996">
        <f t="shared" si="8"/>
        <v>0</v>
      </c>
    </row>
    <row r="16" spans="1:34" x14ac:dyDescent="0.25">
      <c r="A16" s="200" t="s">
        <v>667</v>
      </c>
      <c r="B16" s="87" t="s">
        <v>23</v>
      </c>
      <c r="C16" s="40">
        <v>120602</v>
      </c>
      <c r="D16" s="989"/>
      <c r="E16" s="989"/>
      <c r="F16" s="989"/>
      <c r="G16" s="989"/>
      <c r="H16" s="989"/>
      <c r="I16" s="989"/>
      <c r="J16" s="989"/>
      <c r="K16" s="989"/>
      <c r="L16" s="989"/>
      <c r="M16" s="989"/>
      <c r="N16" s="989">
        <f t="shared" si="0"/>
        <v>120602</v>
      </c>
      <c r="O16" s="989">
        <f t="shared" si="1"/>
        <v>90451.5</v>
      </c>
      <c r="P16" s="989">
        <f t="shared" si="2"/>
        <v>10050.166666666666</v>
      </c>
      <c r="Q16" s="40">
        <f t="shared" si="3"/>
        <v>100501.66666666667</v>
      </c>
      <c r="R16" s="265"/>
      <c r="S16" s="997"/>
      <c r="T16" s="997"/>
      <c r="U16" s="265"/>
      <c r="V16" s="997"/>
      <c r="W16" s="997"/>
      <c r="X16" s="997"/>
      <c r="Y16" s="997"/>
      <c r="Z16" s="997"/>
      <c r="AA16" s="997"/>
      <c r="AB16" s="188"/>
      <c r="AC16" s="188"/>
      <c r="AD16" s="996">
        <f t="shared" si="4"/>
        <v>0</v>
      </c>
      <c r="AE16" s="997">
        <f t="shared" si="5"/>
        <v>0</v>
      </c>
      <c r="AF16" s="989">
        <f t="shared" si="6"/>
        <v>0</v>
      </c>
      <c r="AG16" s="989">
        <f t="shared" si="7"/>
        <v>100501.66666666667</v>
      </c>
      <c r="AH16" s="996">
        <f t="shared" si="8"/>
        <v>120602</v>
      </c>
    </row>
    <row r="17" spans="1:34" x14ac:dyDescent="0.25">
      <c r="A17" s="200" t="s">
        <v>668</v>
      </c>
      <c r="B17" s="87" t="s">
        <v>26</v>
      </c>
      <c r="C17" s="52">
        <v>20000</v>
      </c>
      <c r="D17" s="720"/>
      <c r="E17" s="720"/>
      <c r="F17" s="720"/>
      <c r="G17" s="720"/>
      <c r="H17" s="720"/>
      <c r="I17" s="720"/>
      <c r="J17" s="720"/>
      <c r="K17" s="720"/>
      <c r="L17" s="720"/>
      <c r="M17" s="720"/>
      <c r="N17" s="989">
        <f t="shared" si="0"/>
        <v>20000</v>
      </c>
      <c r="O17" s="989">
        <f t="shared" si="1"/>
        <v>15000</v>
      </c>
      <c r="P17" s="989">
        <f t="shared" si="2"/>
        <v>1666.6666666666667</v>
      </c>
      <c r="Q17" s="40">
        <f t="shared" si="3"/>
        <v>16666.666666666668</v>
      </c>
      <c r="R17" s="265"/>
      <c r="S17" s="997"/>
      <c r="T17" s="997"/>
      <c r="U17" s="265"/>
      <c r="V17" s="997"/>
      <c r="W17" s="997"/>
      <c r="X17" s="997"/>
      <c r="Y17" s="997"/>
      <c r="Z17" s="997"/>
      <c r="AA17" s="997"/>
      <c r="AB17" s="188"/>
      <c r="AC17" s="188"/>
      <c r="AD17" s="996">
        <f t="shared" si="4"/>
        <v>0</v>
      </c>
      <c r="AE17" s="997">
        <f t="shared" si="5"/>
        <v>0</v>
      </c>
      <c r="AF17" s="989">
        <f t="shared" si="6"/>
        <v>0</v>
      </c>
      <c r="AG17" s="989">
        <f t="shared" si="7"/>
        <v>16666.666666666668</v>
      </c>
      <c r="AH17" s="996">
        <f t="shared" si="8"/>
        <v>20000</v>
      </c>
    </row>
    <row r="18" spans="1:34" x14ac:dyDescent="0.25">
      <c r="A18" s="200" t="s">
        <v>669</v>
      </c>
      <c r="B18" s="87" t="s">
        <v>27</v>
      </c>
      <c r="C18" s="52"/>
      <c r="D18" s="720"/>
      <c r="E18" s="720"/>
      <c r="F18" s="720"/>
      <c r="G18" s="720"/>
      <c r="H18" s="720"/>
      <c r="I18" s="720"/>
      <c r="J18" s="720"/>
      <c r="K18" s="720"/>
      <c r="L18" s="720"/>
      <c r="M18" s="720"/>
      <c r="N18" s="989">
        <f t="shared" si="0"/>
        <v>0</v>
      </c>
      <c r="O18" s="989">
        <f t="shared" si="1"/>
        <v>0</v>
      </c>
      <c r="P18" s="989">
        <f t="shared" si="2"/>
        <v>0</v>
      </c>
      <c r="Q18" s="40">
        <f t="shared" si="3"/>
        <v>0</v>
      </c>
      <c r="R18" s="265"/>
      <c r="S18" s="997"/>
      <c r="T18" s="997"/>
      <c r="U18" s="265"/>
      <c r="V18" s="997"/>
      <c r="W18" s="997"/>
      <c r="X18" s="997"/>
      <c r="Y18" s="997"/>
      <c r="Z18" s="997"/>
      <c r="AA18" s="997"/>
      <c r="AB18" s="188"/>
      <c r="AC18" s="188"/>
      <c r="AD18" s="996">
        <f t="shared" si="4"/>
        <v>0</v>
      </c>
      <c r="AE18" s="997">
        <f t="shared" si="5"/>
        <v>0</v>
      </c>
      <c r="AF18" s="989">
        <f t="shared" si="6"/>
        <v>0</v>
      </c>
      <c r="AG18" s="989">
        <f t="shared" si="7"/>
        <v>0</v>
      </c>
      <c r="AH18" s="996">
        <f t="shared" si="8"/>
        <v>0</v>
      </c>
    </row>
    <row r="19" spans="1:34" x14ac:dyDescent="0.25">
      <c r="A19" s="291" t="s">
        <v>670</v>
      </c>
      <c r="B19" s="169"/>
      <c r="C19" s="40">
        <v>120602</v>
      </c>
      <c r="D19" s="989"/>
      <c r="E19" s="989"/>
      <c r="F19" s="989"/>
      <c r="G19" s="989"/>
      <c r="H19" s="989"/>
      <c r="I19" s="989"/>
      <c r="J19" s="989"/>
      <c r="K19" s="989"/>
      <c r="L19" s="989"/>
      <c r="M19" s="989"/>
      <c r="N19" s="989">
        <f t="shared" si="0"/>
        <v>120602</v>
      </c>
      <c r="O19" s="989">
        <f t="shared" si="1"/>
        <v>90451.5</v>
      </c>
      <c r="P19" s="989">
        <f t="shared" si="2"/>
        <v>10050.166666666666</v>
      </c>
      <c r="Q19" s="40">
        <f t="shared" si="3"/>
        <v>100501.66666666667</v>
      </c>
      <c r="R19" s="265"/>
      <c r="S19" s="997"/>
      <c r="T19" s="997"/>
      <c r="U19" s="265"/>
      <c r="V19" s="1167">
        <v>89980</v>
      </c>
      <c r="W19" s="997"/>
      <c r="X19" s="997"/>
      <c r="Y19" s="997"/>
      <c r="Z19" s="997"/>
      <c r="AA19" s="997"/>
      <c r="AB19" s="188"/>
      <c r="AC19" s="188"/>
      <c r="AD19" s="996">
        <f t="shared" si="4"/>
        <v>89980</v>
      </c>
      <c r="AE19" s="997">
        <f t="shared" si="5"/>
        <v>0</v>
      </c>
      <c r="AF19" s="989">
        <f t="shared" si="6"/>
        <v>89980</v>
      </c>
      <c r="AG19" s="989">
        <f t="shared" si="7"/>
        <v>10521.666666666672</v>
      </c>
      <c r="AH19" s="996">
        <f t="shared" si="8"/>
        <v>30622</v>
      </c>
    </row>
    <row r="20" spans="1:34" x14ac:dyDescent="0.25">
      <c r="A20" s="291" t="s">
        <v>671</v>
      </c>
      <c r="B20" s="87"/>
      <c r="C20" s="52">
        <v>20000</v>
      </c>
      <c r="D20" s="720"/>
      <c r="E20" s="720"/>
      <c r="F20" s="720"/>
      <c r="G20" s="720"/>
      <c r="H20" s="720"/>
      <c r="I20" s="720"/>
      <c r="J20" s="720"/>
      <c r="K20" s="720"/>
      <c r="L20" s="720"/>
      <c r="M20" s="720"/>
      <c r="N20" s="989">
        <f t="shared" si="0"/>
        <v>20000</v>
      </c>
      <c r="O20" s="989">
        <f t="shared" si="1"/>
        <v>15000</v>
      </c>
      <c r="P20" s="989">
        <f t="shared" si="2"/>
        <v>1666.6666666666667</v>
      </c>
      <c r="Q20" s="40">
        <f t="shared" si="3"/>
        <v>16666.666666666668</v>
      </c>
      <c r="R20" s="265"/>
      <c r="S20" s="997"/>
      <c r="T20" s="997"/>
      <c r="U20" s="265"/>
      <c r="V20" s="997"/>
      <c r="W20" s="997"/>
      <c r="X20" s="997"/>
      <c r="Y20" s="997"/>
      <c r="Z20" s="997"/>
      <c r="AA20" s="997"/>
      <c r="AB20" s="188"/>
      <c r="AC20" s="188"/>
      <c r="AD20" s="996">
        <f t="shared" si="4"/>
        <v>0</v>
      </c>
      <c r="AE20" s="997">
        <f t="shared" si="5"/>
        <v>0</v>
      </c>
      <c r="AF20" s="989">
        <f t="shared" si="6"/>
        <v>0</v>
      </c>
      <c r="AG20" s="989">
        <f t="shared" si="7"/>
        <v>16666.666666666668</v>
      </c>
      <c r="AH20" s="996">
        <f t="shared" si="8"/>
        <v>20000</v>
      </c>
    </row>
    <row r="21" spans="1:34" x14ac:dyDescent="0.25">
      <c r="A21" s="291" t="s">
        <v>873</v>
      </c>
      <c r="B21" s="87"/>
      <c r="C21" s="52"/>
      <c r="D21" s="720"/>
      <c r="E21" s="720"/>
      <c r="F21" s="720"/>
      <c r="G21" s="720"/>
      <c r="H21" s="720"/>
      <c r="I21" s="720"/>
      <c r="J21" s="720"/>
      <c r="K21" s="720"/>
      <c r="L21" s="720"/>
      <c r="M21" s="720"/>
      <c r="N21" s="989">
        <f t="shared" si="0"/>
        <v>0</v>
      </c>
      <c r="O21" s="989">
        <f t="shared" si="1"/>
        <v>0</v>
      </c>
      <c r="P21" s="989">
        <f t="shared" si="2"/>
        <v>0</v>
      </c>
      <c r="Q21" s="40">
        <f t="shared" si="3"/>
        <v>0</v>
      </c>
      <c r="R21" s="265"/>
      <c r="S21" s="997"/>
      <c r="T21" s="997"/>
      <c r="U21" s="265"/>
      <c r="V21" s="997"/>
      <c r="W21" s="997"/>
      <c r="X21" s="997"/>
      <c r="Y21" s="997"/>
      <c r="Z21" s="997"/>
      <c r="AA21" s="997"/>
      <c r="AB21" s="188"/>
      <c r="AC21" s="188"/>
      <c r="AD21" s="996">
        <f t="shared" si="4"/>
        <v>0</v>
      </c>
      <c r="AE21" s="997">
        <f t="shared" si="5"/>
        <v>0</v>
      </c>
      <c r="AF21" s="989">
        <f t="shared" si="6"/>
        <v>0</v>
      </c>
      <c r="AG21" s="989">
        <f t="shared" si="7"/>
        <v>0</v>
      </c>
      <c r="AH21" s="996">
        <f t="shared" si="8"/>
        <v>0</v>
      </c>
    </row>
    <row r="22" spans="1:34" x14ac:dyDescent="0.25">
      <c r="A22" s="291" t="s">
        <v>673</v>
      </c>
      <c r="B22" s="87"/>
      <c r="C22" s="52"/>
      <c r="D22" s="720"/>
      <c r="E22" s="720"/>
      <c r="F22" s="720"/>
      <c r="G22" s="720"/>
      <c r="H22" s="720"/>
      <c r="I22" s="720"/>
      <c r="J22" s="720"/>
      <c r="K22" s="720"/>
      <c r="L22" s="720"/>
      <c r="M22" s="720"/>
      <c r="N22" s="989">
        <f t="shared" si="0"/>
        <v>0</v>
      </c>
      <c r="O22" s="989">
        <f t="shared" si="1"/>
        <v>0</v>
      </c>
      <c r="P22" s="989">
        <f t="shared" si="2"/>
        <v>0</v>
      </c>
      <c r="Q22" s="40">
        <f t="shared" si="3"/>
        <v>0</v>
      </c>
      <c r="R22" s="265"/>
      <c r="S22" s="997"/>
      <c r="T22" s="997"/>
      <c r="U22" s="265"/>
      <c r="V22" s="997"/>
      <c r="W22" s="997"/>
      <c r="X22" s="997"/>
      <c r="Y22" s="997"/>
      <c r="Z22" s="997"/>
      <c r="AA22" s="997"/>
      <c r="AB22" s="188"/>
      <c r="AC22" s="188"/>
      <c r="AD22" s="996">
        <f t="shared" si="4"/>
        <v>0</v>
      </c>
      <c r="AE22" s="997">
        <f t="shared" si="5"/>
        <v>0</v>
      </c>
      <c r="AF22" s="989">
        <f t="shared" si="6"/>
        <v>0</v>
      </c>
      <c r="AG22" s="989">
        <f t="shared" si="7"/>
        <v>0</v>
      </c>
      <c r="AH22" s="996">
        <f t="shared" si="8"/>
        <v>0</v>
      </c>
    </row>
    <row r="23" spans="1:34" x14ac:dyDescent="0.25">
      <c r="A23" s="291" t="s">
        <v>674</v>
      </c>
      <c r="B23" s="87"/>
      <c r="C23" s="78"/>
      <c r="D23" s="726"/>
      <c r="E23" s="726"/>
      <c r="F23" s="726"/>
      <c r="G23" s="726"/>
      <c r="H23" s="726"/>
      <c r="I23" s="726"/>
      <c r="J23" s="726"/>
      <c r="K23" s="726"/>
      <c r="L23" s="726"/>
      <c r="M23" s="726"/>
      <c r="N23" s="989">
        <f t="shared" si="0"/>
        <v>0</v>
      </c>
      <c r="O23" s="989">
        <f t="shared" si="1"/>
        <v>0</v>
      </c>
      <c r="P23" s="989">
        <f t="shared" si="2"/>
        <v>0</v>
      </c>
      <c r="Q23" s="40">
        <f t="shared" si="3"/>
        <v>0</v>
      </c>
      <c r="R23" s="265"/>
      <c r="S23" s="997"/>
      <c r="T23" s="997"/>
      <c r="U23" s="265"/>
      <c r="V23" s="997"/>
      <c r="W23" s="997"/>
      <c r="X23" s="997"/>
      <c r="Y23" s="997"/>
      <c r="Z23" s="997"/>
      <c r="AA23" s="997"/>
      <c r="AB23" s="188"/>
      <c r="AC23" s="188"/>
      <c r="AD23" s="996">
        <f t="shared" si="4"/>
        <v>0</v>
      </c>
      <c r="AE23" s="997">
        <f t="shared" si="5"/>
        <v>0</v>
      </c>
      <c r="AF23" s="989">
        <f t="shared" si="6"/>
        <v>0</v>
      </c>
      <c r="AG23" s="989">
        <f t="shared" si="7"/>
        <v>0</v>
      </c>
      <c r="AH23" s="996">
        <f t="shared" si="8"/>
        <v>0</v>
      </c>
    </row>
    <row r="24" spans="1:34" x14ac:dyDescent="0.25">
      <c r="A24" s="455" t="s">
        <v>370</v>
      </c>
      <c r="B24" s="188"/>
      <c r="C24" s="188"/>
      <c r="D24" s="937"/>
      <c r="E24" s="937"/>
      <c r="F24" s="937"/>
      <c r="G24" s="937"/>
      <c r="H24" s="937"/>
      <c r="I24" s="937"/>
      <c r="J24" s="937"/>
      <c r="K24" s="937"/>
      <c r="L24" s="937"/>
      <c r="M24" s="937"/>
      <c r="N24" s="989">
        <f t="shared" si="0"/>
        <v>0</v>
      </c>
      <c r="O24" s="989">
        <f t="shared" si="1"/>
        <v>0</v>
      </c>
      <c r="P24" s="989">
        <f t="shared" si="2"/>
        <v>0</v>
      </c>
      <c r="Q24" s="40">
        <f t="shared" si="3"/>
        <v>0</v>
      </c>
      <c r="R24" s="265"/>
      <c r="S24" s="997"/>
      <c r="T24" s="997"/>
      <c r="U24" s="265"/>
      <c r="V24" s="997"/>
      <c r="W24" s="997"/>
      <c r="X24" s="997"/>
      <c r="Y24" s="997"/>
      <c r="Z24" s="997"/>
      <c r="AA24" s="997"/>
      <c r="AB24" s="188"/>
      <c r="AC24" s="188"/>
      <c r="AD24" s="996">
        <f t="shared" si="4"/>
        <v>0</v>
      </c>
      <c r="AE24" s="997">
        <f t="shared" si="5"/>
        <v>0</v>
      </c>
      <c r="AF24" s="989">
        <f t="shared" si="6"/>
        <v>0</v>
      </c>
      <c r="AG24" s="989">
        <f t="shared" si="7"/>
        <v>0</v>
      </c>
      <c r="AH24" s="996">
        <f t="shared" si="8"/>
        <v>0</v>
      </c>
    </row>
    <row r="25" spans="1:34" x14ac:dyDescent="0.25">
      <c r="A25" s="200" t="s">
        <v>675</v>
      </c>
      <c r="B25" s="87" t="s">
        <v>29</v>
      </c>
      <c r="C25" s="52">
        <v>173183.4</v>
      </c>
      <c r="D25" s="720"/>
      <c r="E25" s="720"/>
      <c r="F25" s="720"/>
      <c r="G25" s="720">
        <f>-1382.4</f>
        <v>-1382.4</v>
      </c>
      <c r="H25" s="720">
        <f>-2764.8</f>
        <v>-2764.8</v>
      </c>
      <c r="I25" s="720"/>
      <c r="J25" s="720"/>
      <c r="K25" s="720"/>
      <c r="L25" s="720">
        <f>-5529.6</f>
        <v>-5529.6</v>
      </c>
      <c r="M25" s="720"/>
      <c r="N25" s="989">
        <f t="shared" si="0"/>
        <v>163506.6</v>
      </c>
      <c r="O25" s="989">
        <f t="shared" si="1"/>
        <v>122629.95000000001</v>
      </c>
      <c r="P25" s="989">
        <f t="shared" si="2"/>
        <v>13625.550000000001</v>
      </c>
      <c r="Q25" s="40">
        <f t="shared" si="3"/>
        <v>136255.5</v>
      </c>
      <c r="R25" s="776">
        <v>10394.040000000001</v>
      </c>
      <c r="S25" s="776">
        <v>10394.040000000001</v>
      </c>
      <c r="T25" s="776">
        <v>10394.040000000001</v>
      </c>
      <c r="U25" s="265">
        <v>11524.8</v>
      </c>
      <c r="V25" s="1168">
        <v>10797.6</v>
      </c>
      <c r="W25" s="1170">
        <v>10797.6</v>
      </c>
      <c r="X25" s="708">
        <v>10797.6</v>
      </c>
      <c r="Y25" s="708">
        <v>10797.6</v>
      </c>
      <c r="Z25" s="708">
        <v>10797.6</v>
      </c>
      <c r="AA25" s="708">
        <v>10797</v>
      </c>
      <c r="AB25" s="188"/>
      <c r="AC25" s="188"/>
      <c r="AD25" s="996">
        <f t="shared" si="4"/>
        <v>96694.920000000013</v>
      </c>
      <c r="AE25" s="997">
        <f t="shared" si="5"/>
        <v>10797</v>
      </c>
      <c r="AF25" s="989">
        <f t="shared" si="6"/>
        <v>107491.92000000001</v>
      </c>
      <c r="AG25" s="989">
        <f t="shared" si="7"/>
        <v>28763.579999999987</v>
      </c>
      <c r="AH25" s="996">
        <f t="shared" si="8"/>
        <v>56014.679999999993</v>
      </c>
    </row>
    <row r="26" spans="1:34" x14ac:dyDescent="0.25">
      <c r="A26" s="200" t="s">
        <v>676</v>
      </c>
      <c r="B26" s="87" t="s">
        <v>31</v>
      </c>
      <c r="C26" s="52">
        <v>28863.9</v>
      </c>
      <c r="D26" s="720"/>
      <c r="E26" s="720"/>
      <c r="F26" s="720"/>
      <c r="G26" s="720">
        <f>-230.4</f>
        <v>-230.4</v>
      </c>
      <c r="H26" s="720">
        <f>-460.8</f>
        <v>-460.8</v>
      </c>
      <c r="I26" s="720"/>
      <c r="J26" s="720"/>
      <c r="K26" s="720"/>
      <c r="L26" s="720"/>
      <c r="M26" s="720"/>
      <c r="N26" s="989">
        <f t="shared" si="0"/>
        <v>28172.7</v>
      </c>
      <c r="O26" s="989">
        <f t="shared" si="1"/>
        <v>21129.524999999998</v>
      </c>
      <c r="P26" s="989">
        <f t="shared" si="2"/>
        <v>2347.7249999999999</v>
      </c>
      <c r="Q26" s="40">
        <f t="shared" si="3"/>
        <v>23477.249999999996</v>
      </c>
      <c r="R26" s="776">
        <v>1732.34</v>
      </c>
      <c r="S26" s="776">
        <v>1732.34</v>
      </c>
      <c r="T26" s="776">
        <v>1732.34</v>
      </c>
      <c r="U26" s="265">
        <v>1920.8</v>
      </c>
      <c r="V26" s="1168">
        <v>1799.6</v>
      </c>
      <c r="W26" s="1170">
        <v>1799.6</v>
      </c>
      <c r="X26" s="708">
        <v>1799.6</v>
      </c>
      <c r="Y26" s="708">
        <v>1799.6</v>
      </c>
      <c r="Z26" s="708">
        <v>1799.6</v>
      </c>
      <c r="AA26" s="708">
        <v>1799.6</v>
      </c>
      <c r="AB26" s="188"/>
      <c r="AC26" s="188"/>
      <c r="AD26" s="996">
        <f t="shared" si="4"/>
        <v>16115.820000000002</v>
      </c>
      <c r="AE26" s="997">
        <f t="shared" si="5"/>
        <v>1799.6</v>
      </c>
      <c r="AF26" s="989">
        <f t="shared" si="6"/>
        <v>17915.420000000002</v>
      </c>
      <c r="AG26" s="989">
        <f t="shared" si="7"/>
        <v>5561.8299999999945</v>
      </c>
      <c r="AH26" s="996">
        <f t="shared" si="8"/>
        <v>10257.279999999999</v>
      </c>
    </row>
    <row r="27" spans="1:34" x14ac:dyDescent="0.25">
      <c r="A27" s="200" t="s">
        <v>677</v>
      </c>
      <c r="B27" s="87" t="s">
        <v>33</v>
      </c>
      <c r="C27" s="52">
        <v>24217.78</v>
      </c>
      <c r="D27" s="720"/>
      <c r="E27" s="720"/>
      <c r="F27" s="720"/>
      <c r="G27" s="720">
        <f>-201.6</f>
        <v>-201.6</v>
      </c>
      <c r="H27" s="720">
        <f>-403.2</f>
        <v>-403.2</v>
      </c>
      <c r="I27" s="720"/>
      <c r="J27" s="720"/>
      <c r="K27" s="720"/>
      <c r="L27" s="720"/>
      <c r="M27" s="720"/>
      <c r="N27" s="989">
        <f t="shared" si="0"/>
        <v>23612.98</v>
      </c>
      <c r="O27" s="989">
        <f t="shared" si="1"/>
        <v>17709.735000000001</v>
      </c>
      <c r="P27" s="989">
        <f t="shared" si="2"/>
        <v>1967.7483333333332</v>
      </c>
      <c r="Q27" s="40">
        <f t="shared" si="3"/>
        <v>19677.483333333334</v>
      </c>
      <c r="R27" s="776">
        <v>1110.06</v>
      </c>
      <c r="S27" s="776">
        <v>1110.06</v>
      </c>
      <c r="T27" s="776">
        <v>1110.06</v>
      </c>
      <c r="U27" s="265">
        <v>1121.01</v>
      </c>
      <c r="V27" s="1168">
        <v>1121.01</v>
      </c>
      <c r="W27" s="1170">
        <v>1121.01</v>
      </c>
      <c r="X27" s="708">
        <v>1121.01</v>
      </c>
      <c r="Y27" s="708">
        <v>1121.01</v>
      </c>
      <c r="Z27" s="708">
        <v>1121.01</v>
      </c>
      <c r="AA27" s="708">
        <v>1121.01</v>
      </c>
      <c r="AB27" s="188"/>
      <c r="AC27" s="188"/>
      <c r="AD27" s="996">
        <f t="shared" si="4"/>
        <v>10056.24</v>
      </c>
      <c r="AE27" s="997">
        <f t="shared" si="5"/>
        <v>1121.01</v>
      </c>
      <c r="AF27" s="989">
        <f t="shared" si="6"/>
        <v>11177.25</v>
      </c>
      <c r="AG27" s="989">
        <f t="shared" si="7"/>
        <v>8500.2333333333336</v>
      </c>
      <c r="AH27" s="996">
        <f t="shared" si="8"/>
        <v>12435.73</v>
      </c>
    </row>
    <row r="28" spans="1:34" x14ac:dyDescent="0.25">
      <c r="A28" s="456" t="s">
        <v>678</v>
      </c>
      <c r="B28" s="87" t="s">
        <v>35</v>
      </c>
      <c r="C28" s="52">
        <v>4800</v>
      </c>
      <c r="D28" s="720"/>
      <c r="E28" s="720"/>
      <c r="F28" s="720"/>
      <c r="G28" s="720"/>
      <c r="H28" s="720"/>
      <c r="I28" s="720"/>
      <c r="J28" s="720"/>
      <c r="K28" s="720"/>
      <c r="L28" s="720"/>
      <c r="M28" s="720"/>
      <c r="N28" s="989">
        <f t="shared" si="0"/>
        <v>4800</v>
      </c>
      <c r="O28" s="989">
        <f t="shared" si="1"/>
        <v>3600</v>
      </c>
      <c r="P28" s="989">
        <f t="shared" si="2"/>
        <v>400</v>
      </c>
      <c r="Q28" s="40">
        <f t="shared" si="3"/>
        <v>4000</v>
      </c>
      <c r="R28" s="776">
        <v>200</v>
      </c>
      <c r="S28" s="776">
        <v>200</v>
      </c>
      <c r="T28" s="776">
        <v>200</v>
      </c>
      <c r="U28" s="265">
        <v>200</v>
      </c>
      <c r="V28" s="1168">
        <v>200</v>
      </c>
      <c r="W28" s="1170">
        <v>200</v>
      </c>
      <c r="X28" s="708">
        <v>200</v>
      </c>
      <c r="Y28" s="708">
        <v>200</v>
      </c>
      <c r="Z28" s="708">
        <v>200</v>
      </c>
      <c r="AA28" s="708">
        <v>200</v>
      </c>
      <c r="AB28" s="188"/>
      <c r="AC28" s="188"/>
      <c r="AD28" s="996">
        <f t="shared" si="4"/>
        <v>1800</v>
      </c>
      <c r="AE28" s="997">
        <f t="shared" si="5"/>
        <v>200</v>
      </c>
      <c r="AF28" s="989">
        <f t="shared" si="6"/>
        <v>2000</v>
      </c>
      <c r="AG28" s="989">
        <f t="shared" si="7"/>
        <v>2000</v>
      </c>
      <c r="AH28" s="996">
        <f t="shared" si="8"/>
        <v>2800</v>
      </c>
    </row>
    <row r="29" spans="1:34" x14ac:dyDescent="0.25">
      <c r="A29" s="49"/>
      <c r="B29" s="87"/>
      <c r="C29" s="52"/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989">
        <f t="shared" si="0"/>
        <v>0</v>
      </c>
      <c r="O29" s="989">
        <f t="shared" si="1"/>
        <v>0</v>
      </c>
      <c r="P29" s="989">
        <f t="shared" ref="P29" si="9">N29/12*3</f>
        <v>0</v>
      </c>
      <c r="Q29" s="40"/>
      <c r="R29" s="265"/>
      <c r="S29" s="265"/>
      <c r="T29" s="265"/>
      <c r="U29" s="265"/>
      <c r="V29" s="997"/>
      <c r="W29" s="997"/>
      <c r="X29" s="997"/>
      <c r="Y29" s="997"/>
      <c r="Z29" s="997"/>
      <c r="AA29" s="997"/>
      <c r="AB29" s="188"/>
      <c r="AC29" s="188"/>
      <c r="AD29" s="996">
        <f t="shared" si="4"/>
        <v>0</v>
      </c>
      <c r="AE29" s="997">
        <f t="shared" si="5"/>
        <v>0</v>
      </c>
      <c r="AF29" s="989">
        <f t="shared" si="6"/>
        <v>0</v>
      </c>
      <c r="AG29" s="989">
        <f t="shared" si="7"/>
        <v>0</v>
      </c>
      <c r="AH29" s="996">
        <f t="shared" si="8"/>
        <v>0</v>
      </c>
    </row>
    <row r="30" spans="1:34" x14ac:dyDescent="0.25">
      <c r="A30" s="184" t="s">
        <v>40</v>
      </c>
      <c r="B30" s="234"/>
      <c r="C30" s="109">
        <f>SUM(C8:C29)</f>
        <v>2219464.0799999996</v>
      </c>
      <c r="D30" s="990">
        <f t="shared" ref="D30:F30" si="10">SUM(D8:D29)</f>
        <v>0</v>
      </c>
      <c r="E30" s="990">
        <f t="shared" si="10"/>
        <v>0</v>
      </c>
      <c r="F30" s="990">
        <f t="shared" si="10"/>
        <v>0</v>
      </c>
      <c r="G30" s="990">
        <f>SUM(G8:G29)</f>
        <v>-17334.400000000001</v>
      </c>
      <c r="H30" s="990">
        <f t="shared" ref="H30:L30" si="11">SUM(H8:H29)</f>
        <v>-30668.799999999999</v>
      </c>
      <c r="I30" s="990">
        <f t="shared" si="11"/>
        <v>0</v>
      </c>
      <c r="J30" s="990">
        <f t="shared" si="11"/>
        <v>0</v>
      </c>
      <c r="K30" s="990">
        <f t="shared" si="11"/>
        <v>0</v>
      </c>
      <c r="L30" s="990">
        <f t="shared" si="11"/>
        <v>-51609.599999999999</v>
      </c>
      <c r="M30" s="990">
        <f>SUM(M8:M29)</f>
        <v>0</v>
      </c>
      <c r="N30" s="990">
        <f>SUM(N8:N29)</f>
        <v>2119851.2800000003</v>
      </c>
      <c r="O30" s="990">
        <f t="shared" ref="O30:AG30" si="12">SUM(O8:O29)</f>
        <v>1593888.46</v>
      </c>
      <c r="P30" s="990">
        <f t="shared" si="12"/>
        <v>176654.27333333326</v>
      </c>
      <c r="Q30" s="990">
        <f t="shared" si="12"/>
        <v>1770542.7333333336</v>
      </c>
      <c r="R30" s="990">
        <f t="shared" si="12"/>
        <v>124053.44</v>
      </c>
      <c r="S30" s="990">
        <f t="shared" si="12"/>
        <v>116053.44</v>
      </c>
      <c r="T30" s="990">
        <f t="shared" si="12"/>
        <v>116053.44</v>
      </c>
      <c r="U30" s="990">
        <f t="shared" si="12"/>
        <v>126315.11</v>
      </c>
      <c r="V30" s="990">
        <f t="shared" si="12"/>
        <v>209878.21000000002</v>
      </c>
      <c r="W30" s="990">
        <f t="shared" si="12"/>
        <v>119898.21</v>
      </c>
      <c r="X30" s="990">
        <f t="shared" si="12"/>
        <v>119898.21</v>
      </c>
      <c r="Y30" s="990">
        <f t="shared" si="12"/>
        <v>119898.21</v>
      </c>
      <c r="Z30" s="990">
        <f t="shared" si="12"/>
        <v>119898.21</v>
      </c>
      <c r="AA30" s="990">
        <f t="shared" si="12"/>
        <v>121547.61</v>
      </c>
      <c r="AB30" s="990">
        <f t="shared" si="12"/>
        <v>0</v>
      </c>
      <c r="AC30" s="990">
        <f t="shared" si="12"/>
        <v>0</v>
      </c>
      <c r="AD30" s="990">
        <f t="shared" si="12"/>
        <v>1171946.48</v>
      </c>
      <c r="AE30" s="990">
        <f t="shared" si="12"/>
        <v>121547.61</v>
      </c>
      <c r="AF30" s="990">
        <f t="shared" si="12"/>
        <v>1293494.0899999999</v>
      </c>
      <c r="AG30" s="990">
        <f t="shared" si="12"/>
        <v>477048.64333333343</v>
      </c>
      <c r="AH30" s="990">
        <f>SUM(AH8:AH29)</f>
        <v>826357.19</v>
      </c>
    </row>
    <row r="31" spans="1:34" x14ac:dyDescent="0.25">
      <c r="A31" s="184" t="s">
        <v>700</v>
      </c>
      <c r="B31" s="234"/>
      <c r="C31" s="40"/>
      <c r="D31" s="989"/>
      <c r="E31" s="989"/>
      <c r="F31" s="989"/>
      <c r="G31" s="989"/>
      <c r="H31" s="989"/>
      <c r="I31" s="989"/>
      <c r="J31" s="989"/>
      <c r="K31" s="989"/>
      <c r="L31" s="989"/>
      <c r="M31" s="989"/>
      <c r="N31" s="40"/>
      <c r="O31" s="989">
        <f t="shared" ref="O31" si="13">N31/12*6</f>
        <v>0</v>
      </c>
      <c r="P31" s="40"/>
      <c r="Q31" s="40"/>
      <c r="R31" s="265"/>
      <c r="S31" s="265"/>
      <c r="T31" s="265"/>
      <c r="U31" s="265"/>
      <c r="V31" s="997"/>
      <c r="W31" s="997"/>
      <c r="X31" s="997"/>
      <c r="Y31" s="997"/>
      <c r="Z31" s="997"/>
      <c r="AA31" s="997"/>
      <c r="AB31" s="188"/>
      <c r="AC31" s="188"/>
      <c r="AD31" s="996">
        <f t="shared" ref="AD31:AD82" si="14">R31+S31+T31+U31+V31+W31+X31+Y31+Z31</f>
        <v>0</v>
      </c>
      <c r="AE31" s="997">
        <f t="shared" ref="AE31:AE82" si="15">AA31</f>
        <v>0</v>
      </c>
      <c r="AF31" s="937"/>
      <c r="AG31" s="40"/>
      <c r="AH31" s="188"/>
    </row>
    <row r="32" spans="1:34" x14ac:dyDescent="0.25">
      <c r="A32" s="201" t="s">
        <v>139</v>
      </c>
      <c r="B32" s="169" t="s">
        <v>43</v>
      </c>
      <c r="C32" s="40">
        <v>25000</v>
      </c>
      <c r="D32" s="989">
        <v>8000</v>
      </c>
      <c r="E32" s="989"/>
      <c r="F32" s="989"/>
      <c r="G32" s="989"/>
      <c r="H32" s="989"/>
      <c r="I32" s="989">
        <f>-4000</f>
        <v>-4000</v>
      </c>
      <c r="J32" s="989"/>
      <c r="K32" s="989"/>
      <c r="L32" s="989"/>
      <c r="M32" s="989"/>
      <c r="N32" s="989">
        <f>SUM(C32:M32)</f>
        <v>29000</v>
      </c>
      <c r="O32" s="989">
        <f t="shared" ref="O32:O82" si="16">N32/12*9</f>
        <v>21750</v>
      </c>
      <c r="P32" s="989">
        <f t="shared" ref="P32" si="17">N32/12*1</f>
        <v>2416.6666666666665</v>
      </c>
      <c r="Q32" s="40">
        <f t="shared" ref="Q32:Q58" si="18">O32+P32</f>
        <v>24166.666666666668</v>
      </c>
      <c r="R32" s="265"/>
      <c r="S32" s="265"/>
      <c r="T32" s="265">
        <v>1510</v>
      </c>
      <c r="U32" s="265">
        <v>1760</v>
      </c>
      <c r="V32" s="997">
        <v>1760</v>
      </c>
      <c r="W32" s="997">
        <v>1280</v>
      </c>
      <c r="X32" s="997">
        <f>3810</f>
        <v>3810</v>
      </c>
      <c r="Y32" s="997">
        <v>3238</v>
      </c>
      <c r="Z32" s="997">
        <v>2640</v>
      </c>
      <c r="AA32" s="997">
        <f>1744.5+500</f>
        <v>2244.5</v>
      </c>
      <c r="AB32" s="188"/>
      <c r="AC32" s="188"/>
      <c r="AD32" s="996">
        <f>R32+S32+T32+U32+V32+W32+X32+Y32+Z32</f>
        <v>15998</v>
      </c>
      <c r="AE32" s="997">
        <f t="shared" si="15"/>
        <v>2244.5</v>
      </c>
      <c r="AF32" s="989">
        <f t="shared" ref="AF32" si="19">AD32+AE32</f>
        <v>18242.5</v>
      </c>
      <c r="AG32" s="989">
        <f t="shared" ref="AG32:AG82" si="20">Q32-AF32</f>
        <v>5924.1666666666679</v>
      </c>
      <c r="AH32" s="996">
        <f t="shared" ref="AH32:AH82" si="21">N32-AF32</f>
        <v>10757.5</v>
      </c>
    </row>
    <row r="33" spans="1:34" x14ac:dyDescent="0.25">
      <c r="A33" s="201" t="s">
        <v>44</v>
      </c>
      <c r="B33" s="169" t="s">
        <v>140</v>
      </c>
      <c r="C33" s="40"/>
      <c r="D33" s="989"/>
      <c r="E33" s="989"/>
      <c r="F33" s="989"/>
      <c r="G33" s="989"/>
      <c r="H33" s="989"/>
      <c r="I33" s="989"/>
      <c r="J33" s="989"/>
      <c r="K33" s="989"/>
      <c r="L33" s="989"/>
      <c r="M33" s="989"/>
      <c r="N33" s="989">
        <f t="shared" ref="N33:N63" si="22">SUM(C33:M33)</f>
        <v>0</v>
      </c>
      <c r="O33" s="989">
        <f t="shared" si="16"/>
        <v>0</v>
      </c>
      <c r="P33" s="989">
        <f t="shared" ref="P33:P82" si="23">N33/12*1</f>
        <v>0</v>
      </c>
      <c r="Q33" s="40">
        <f t="shared" si="18"/>
        <v>0</v>
      </c>
      <c r="R33" s="265"/>
      <c r="S33" s="265"/>
      <c r="T33" s="265"/>
      <c r="U33" s="265"/>
      <c r="V33" s="997"/>
      <c r="W33" s="997"/>
      <c r="X33" s="997"/>
      <c r="Y33" s="997"/>
      <c r="Z33" s="997"/>
      <c r="AA33" s="997"/>
      <c r="AB33" s="188"/>
      <c r="AC33" s="188"/>
      <c r="AD33" s="996">
        <f t="shared" si="14"/>
        <v>0</v>
      </c>
      <c r="AE33" s="997">
        <f t="shared" si="15"/>
        <v>0</v>
      </c>
      <c r="AF33" s="989">
        <f t="shared" ref="AF33:AF82" si="24">AD33+AE33</f>
        <v>0</v>
      </c>
      <c r="AG33" s="989">
        <f t="shared" si="20"/>
        <v>0</v>
      </c>
      <c r="AH33" s="996">
        <f t="shared" si="21"/>
        <v>0</v>
      </c>
    </row>
    <row r="34" spans="1:34" x14ac:dyDescent="0.25">
      <c r="A34" s="235" t="s">
        <v>371</v>
      </c>
      <c r="B34" s="87"/>
      <c r="C34" s="40">
        <v>20000</v>
      </c>
      <c r="D34" s="989"/>
      <c r="E34" s="989"/>
      <c r="F34" s="989"/>
      <c r="G34" s="989"/>
      <c r="H34" s="989"/>
      <c r="I34" s="989">
        <f>-10000</f>
        <v>-10000</v>
      </c>
      <c r="J34" s="989"/>
      <c r="K34" s="989">
        <v>5060</v>
      </c>
      <c r="L34" s="989"/>
      <c r="M34" s="989"/>
      <c r="N34" s="989">
        <f t="shared" si="22"/>
        <v>15060</v>
      </c>
      <c r="O34" s="989">
        <f t="shared" si="16"/>
        <v>11295</v>
      </c>
      <c r="P34" s="989">
        <f t="shared" si="23"/>
        <v>1255</v>
      </c>
      <c r="Q34" s="40">
        <f t="shared" si="18"/>
        <v>12550</v>
      </c>
      <c r="R34" s="265"/>
      <c r="S34" s="265"/>
      <c r="T34" s="265"/>
      <c r="U34" s="265"/>
      <c r="V34" s="997"/>
      <c r="W34" s="997"/>
      <c r="X34" s="997"/>
      <c r="Y34" s="997">
        <v>5060</v>
      </c>
      <c r="Z34" s="997">
        <v>5094.5</v>
      </c>
      <c r="AA34" s="997">
        <v>4905.5</v>
      </c>
      <c r="AB34" s="188"/>
      <c r="AC34" s="188"/>
      <c r="AD34" s="996">
        <f t="shared" si="14"/>
        <v>10154.5</v>
      </c>
      <c r="AE34" s="997">
        <f t="shared" si="15"/>
        <v>4905.5</v>
      </c>
      <c r="AF34" s="989">
        <f t="shared" si="24"/>
        <v>15060</v>
      </c>
      <c r="AG34" s="989">
        <f t="shared" si="20"/>
        <v>-2510</v>
      </c>
      <c r="AH34" s="996">
        <f t="shared" si="21"/>
        <v>0</v>
      </c>
    </row>
    <row r="35" spans="1:34" x14ac:dyDescent="0.25">
      <c r="A35" s="235" t="s">
        <v>875</v>
      </c>
      <c r="B35" s="87"/>
      <c r="C35" s="40"/>
      <c r="D35" s="900"/>
      <c r="E35" s="900"/>
      <c r="F35" s="900"/>
      <c r="H35" s="989"/>
      <c r="I35" s="989"/>
      <c r="J35" s="989"/>
      <c r="K35" s="989"/>
      <c r="L35" s="989"/>
      <c r="M35" s="989"/>
      <c r="N35" s="989">
        <f t="shared" si="22"/>
        <v>0</v>
      </c>
      <c r="O35" s="989">
        <f t="shared" si="16"/>
        <v>0</v>
      </c>
      <c r="P35" s="989">
        <f t="shared" si="23"/>
        <v>0</v>
      </c>
      <c r="Q35" s="40">
        <f t="shared" si="18"/>
        <v>0</v>
      </c>
      <c r="R35" s="78"/>
      <c r="S35" s="78"/>
      <c r="T35" s="78"/>
      <c r="U35" s="78"/>
      <c r="V35" s="726"/>
      <c r="W35" s="726"/>
      <c r="X35" s="726"/>
      <c r="Y35" s="726"/>
      <c r="Z35" s="726"/>
      <c r="AA35" s="726"/>
      <c r="AB35" s="121"/>
      <c r="AC35" s="121"/>
      <c r="AD35" s="996">
        <f t="shared" si="14"/>
        <v>0</v>
      </c>
      <c r="AE35" s="997">
        <f t="shared" si="15"/>
        <v>0</v>
      </c>
      <c r="AF35" s="989">
        <f t="shared" si="24"/>
        <v>0</v>
      </c>
      <c r="AG35" s="989">
        <f t="shared" si="20"/>
        <v>0</v>
      </c>
      <c r="AH35" s="996">
        <f t="shared" si="21"/>
        <v>0</v>
      </c>
    </row>
    <row r="36" spans="1:34" x14ac:dyDescent="0.25">
      <c r="A36" s="235" t="s">
        <v>876</v>
      </c>
      <c r="B36" s="87"/>
      <c r="C36" s="40"/>
      <c r="D36" s="989"/>
      <c r="E36" s="989"/>
      <c r="F36" s="989"/>
      <c r="G36" s="989"/>
      <c r="H36" s="989"/>
      <c r="I36" s="989"/>
      <c r="J36" s="989"/>
      <c r="K36" s="989"/>
      <c r="L36" s="989"/>
      <c r="M36" s="989"/>
      <c r="N36" s="989">
        <f t="shared" si="22"/>
        <v>0</v>
      </c>
      <c r="O36" s="989">
        <f t="shared" si="16"/>
        <v>0</v>
      </c>
      <c r="P36" s="989">
        <f t="shared" si="23"/>
        <v>0</v>
      </c>
      <c r="Q36" s="40">
        <f t="shared" si="18"/>
        <v>0</v>
      </c>
      <c r="R36" s="265"/>
      <c r="S36" s="265"/>
      <c r="T36" s="265"/>
      <c r="U36" s="265"/>
      <c r="V36" s="997"/>
      <c r="W36" s="997"/>
      <c r="X36" s="997"/>
      <c r="Y36" s="997"/>
      <c r="Z36" s="997"/>
      <c r="AA36" s="997"/>
      <c r="AB36" s="188"/>
      <c r="AC36" s="188"/>
      <c r="AD36" s="996">
        <f t="shared" si="14"/>
        <v>0</v>
      </c>
      <c r="AE36" s="997">
        <f t="shared" si="15"/>
        <v>0</v>
      </c>
      <c r="AF36" s="989">
        <f t="shared" si="24"/>
        <v>0</v>
      </c>
      <c r="AG36" s="989">
        <f t="shared" si="20"/>
        <v>0</v>
      </c>
      <c r="AH36" s="996">
        <f t="shared" si="21"/>
        <v>0</v>
      </c>
    </row>
    <row r="37" spans="1:34" x14ac:dyDescent="0.25">
      <c r="A37" s="235" t="s">
        <v>877</v>
      </c>
      <c r="B37" s="87"/>
      <c r="C37" s="40">
        <v>5000</v>
      </c>
      <c r="D37" s="989"/>
      <c r="E37" s="989"/>
      <c r="F37" s="989"/>
      <c r="G37" s="989"/>
      <c r="H37" s="989"/>
      <c r="I37" s="989">
        <f>-5000</f>
        <v>-5000</v>
      </c>
      <c r="J37" s="989"/>
      <c r="K37" s="989"/>
      <c r="L37" s="989"/>
      <c r="M37" s="989"/>
      <c r="N37" s="989">
        <f t="shared" si="22"/>
        <v>0</v>
      </c>
      <c r="O37" s="989">
        <f t="shared" si="16"/>
        <v>0</v>
      </c>
      <c r="P37" s="989">
        <f t="shared" si="23"/>
        <v>0</v>
      </c>
      <c r="Q37" s="40">
        <f t="shared" si="18"/>
        <v>0</v>
      </c>
      <c r="R37" s="265"/>
      <c r="S37" s="265"/>
      <c r="T37" s="265"/>
      <c r="U37" s="265"/>
      <c r="V37" s="997"/>
      <c r="W37" s="997"/>
      <c r="X37" s="997"/>
      <c r="Y37" s="997"/>
      <c r="Z37" s="997"/>
      <c r="AA37" s="997"/>
      <c r="AB37" s="188"/>
      <c r="AC37" s="188"/>
      <c r="AD37" s="996">
        <f t="shared" si="14"/>
        <v>0</v>
      </c>
      <c r="AE37" s="997">
        <f t="shared" si="15"/>
        <v>0</v>
      </c>
      <c r="AF37" s="989">
        <f t="shared" si="24"/>
        <v>0</v>
      </c>
      <c r="AG37" s="989">
        <f t="shared" si="20"/>
        <v>0</v>
      </c>
      <c r="AH37" s="996">
        <f t="shared" si="21"/>
        <v>0</v>
      </c>
    </row>
    <row r="38" spans="1:34" x14ac:dyDescent="0.25">
      <c r="A38" s="235" t="s">
        <v>878</v>
      </c>
      <c r="B38" s="87"/>
      <c r="C38" s="40">
        <v>5000</v>
      </c>
      <c r="D38" s="989"/>
      <c r="E38" s="989"/>
      <c r="F38" s="989"/>
      <c r="G38" s="989"/>
      <c r="H38" s="989"/>
      <c r="I38" s="989">
        <f>-5000</f>
        <v>-5000</v>
      </c>
      <c r="J38" s="989"/>
      <c r="K38" s="989"/>
      <c r="L38" s="989"/>
      <c r="M38" s="989"/>
      <c r="N38" s="989">
        <f t="shared" si="22"/>
        <v>0</v>
      </c>
      <c r="O38" s="989">
        <f t="shared" si="16"/>
        <v>0</v>
      </c>
      <c r="P38" s="989">
        <f t="shared" si="23"/>
        <v>0</v>
      </c>
      <c r="Q38" s="40">
        <f t="shared" si="18"/>
        <v>0</v>
      </c>
      <c r="R38" s="265"/>
      <c r="S38" s="265"/>
      <c r="T38" s="265"/>
      <c r="U38" s="265"/>
      <c r="V38" s="997"/>
      <c r="W38" s="997"/>
      <c r="X38" s="997"/>
      <c r="Y38" s="997"/>
      <c r="Z38" s="997"/>
      <c r="AA38" s="997"/>
      <c r="AB38" s="188"/>
      <c r="AC38" s="188"/>
      <c r="AD38" s="996">
        <f t="shared" si="14"/>
        <v>0</v>
      </c>
      <c r="AE38" s="997">
        <f t="shared" si="15"/>
        <v>0</v>
      </c>
      <c r="AF38" s="989">
        <f t="shared" si="24"/>
        <v>0</v>
      </c>
      <c r="AG38" s="989">
        <f t="shared" si="20"/>
        <v>0</v>
      </c>
      <c r="AH38" s="996">
        <f t="shared" si="21"/>
        <v>0</v>
      </c>
    </row>
    <row r="39" spans="1:34" x14ac:dyDescent="0.25">
      <c r="A39" s="201" t="s">
        <v>50</v>
      </c>
      <c r="B39" s="169" t="s">
        <v>51</v>
      </c>
      <c r="C39" s="40"/>
      <c r="D39" s="989"/>
      <c r="E39" s="989"/>
      <c r="F39" s="989"/>
      <c r="G39" s="989"/>
      <c r="H39" s="989"/>
      <c r="I39" s="989"/>
      <c r="J39" s="989"/>
      <c r="K39" s="989"/>
      <c r="L39" s="989"/>
      <c r="M39" s="989"/>
      <c r="N39" s="989">
        <f t="shared" si="22"/>
        <v>0</v>
      </c>
      <c r="O39" s="989">
        <f t="shared" si="16"/>
        <v>0</v>
      </c>
      <c r="P39" s="989">
        <f t="shared" si="23"/>
        <v>0</v>
      </c>
      <c r="Q39" s="40">
        <f t="shared" si="18"/>
        <v>0</v>
      </c>
      <c r="R39" s="265"/>
      <c r="S39" s="265"/>
      <c r="T39" s="265"/>
      <c r="U39" s="265"/>
      <c r="V39" s="997"/>
      <c r="W39" s="997"/>
      <c r="X39" s="997"/>
      <c r="Y39" s="997"/>
      <c r="Z39" s="997"/>
      <c r="AA39" s="997"/>
      <c r="AB39" s="188"/>
      <c r="AC39" s="188"/>
      <c r="AD39" s="996">
        <f t="shared" si="14"/>
        <v>0</v>
      </c>
      <c r="AE39" s="997">
        <f t="shared" si="15"/>
        <v>0</v>
      </c>
      <c r="AF39" s="989">
        <f t="shared" si="24"/>
        <v>0</v>
      </c>
      <c r="AG39" s="989">
        <f t="shared" si="20"/>
        <v>0</v>
      </c>
      <c r="AH39" s="996">
        <f t="shared" si="21"/>
        <v>0</v>
      </c>
    </row>
    <row r="40" spans="1:34" x14ac:dyDescent="0.25">
      <c r="A40" s="235" t="s">
        <v>879</v>
      </c>
      <c r="B40" s="87"/>
      <c r="C40" s="40">
        <v>60000</v>
      </c>
      <c r="D40" s="989"/>
      <c r="E40" s="989"/>
      <c r="F40" s="989"/>
      <c r="G40" s="989"/>
      <c r="H40" s="989"/>
      <c r="I40" s="989"/>
      <c r="J40" s="989"/>
      <c r="K40" s="989"/>
      <c r="L40" s="989"/>
      <c r="M40" s="989"/>
      <c r="N40" s="989">
        <f t="shared" si="22"/>
        <v>60000</v>
      </c>
      <c r="O40" s="989">
        <f t="shared" si="16"/>
        <v>45000</v>
      </c>
      <c r="P40" s="989">
        <f t="shared" si="23"/>
        <v>5000</v>
      </c>
      <c r="Q40" s="40">
        <f t="shared" si="18"/>
        <v>50000</v>
      </c>
      <c r="R40" s="265"/>
      <c r="S40" s="265"/>
      <c r="T40" s="997">
        <v>9258</v>
      </c>
      <c r="U40" s="265"/>
      <c r="V40" s="997">
        <v>450</v>
      </c>
      <c r="W40" s="997">
        <v>8330</v>
      </c>
      <c r="X40" s="997">
        <v>1399.25</v>
      </c>
      <c r="Y40" s="997">
        <v>6260</v>
      </c>
      <c r="Z40" s="997">
        <f>3982+1035</f>
        <v>5017</v>
      </c>
      <c r="AA40" s="997"/>
      <c r="AB40" s="188"/>
      <c r="AC40" s="188"/>
      <c r="AD40" s="996">
        <f t="shared" si="14"/>
        <v>30714.25</v>
      </c>
      <c r="AE40" s="997">
        <f t="shared" si="15"/>
        <v>0</v>
      </c>
      <c r="AF40" s="989">
        <f t="shared" si="24"/>
        <v>30714.25</v>
      </c>
      <c r="AG40" s="989">
        <f t="shared" si="20"/>
        <v>19285.75</v>
      </c>
      <c r="AH40" s="996">
        <f t="shared" si="21"/>
        <v>29285.75</v>
      </c>
    </row>
    <row r="41" spans="1:34" x14ac:dyDescent="0.25">
      <c r="A41" s="235" t="s">
        <v>875</v>
      </c>
      <c r="B41" s="87"/>
      <c r="C41" s="40">
        <v>1000</v>
      </c>
      <c r="D41" s="989">
        <f>-1000</f>
        <v>-1000</v>
      </c>
      <c r="E41" s="989"/>
      <c r="F41" s="989"/>
      <c r="G41" s="989"/>
      <c r="H41" s="989"/>
      <c r="I41" s="989"/>
      <c r="J41" s="989"/>
      <c r="K41" s="989"/>
      <c r="L41" s="989"/>
      <c r="M41" s="989"/>
      <c r="N41" s="989">
        <f t="shared" si="22"/>
        <v>0</v>
      </c>
      <c r="O41" s="989">
        <f t="shared" si="16"/>
        <v>0</v>
      </c>
      <c r="P41" s="989">
        <f t="shared" si="23"/>
        <v>0</v>
      </c>
      <c r="Q41" s="40">
        <f t="shared" si="18"/>
        <v>0</v>
      </c>
      <c r="R41" s="78"/>
      <c r="S41" s="78"/>
      <c r="T41" s="78"/>
      <c r="U41" s="78"/>
      <c r="V41" s="726"/>
      <c r="W41" s="726"/>
      <c r="X41" s="726"/>
      <c r="Y41" s="726"/>
      <c r="Z41" s="726"/>
      <c r="AA41" s="726"/>
      <c r="AB41" s="123"/>
      <c r="AC41" s="123"/>
      <c r="AD41" s="996">
        <f t="shared" si="14"/>
        <v>0</v>
      </c>
      <c r="AE41" s="997">
        <f t="shared" si="15"/>
        <v>0</v>
      </c>
      <c r="AF41" s="989">
        <f t="shared" si="24"/>
        <v>0</v>
      </c>
      <c r="AG41" s="989">
        <f t="shared" si="20"/>
        <v>0</v>
      </c>
      <c r="AH41" s="996">
        <f t="shared" si="21"/>
        <v>0</v>
      </c>
    </row>
    <row r="42" spans="1:34" x14ac:dyDescent="0.25">
      <c r="A42" s="235" t="s">
        <v>880</v>
      </c>
      <c r="B42" s="87"/>
      <c r="C42" s="40">
        <v>2000</v>
      </c>
      <c r="D42" s="989">
        <f>-2000</f>
        <v>-2000</v>
      </c>
      <c r="E42" s="989"/>
      <c r="F42" s="989"/>
      <c r="G42" s="989"/>
      <c r="H42" s="989"/>
      <c r="I42" s="989"/>
      <c r="J42" s="989"/>
      <c r="K42" s="989"/>
      <c r="L42" s="989"/>
      <c r="M42" s="989"/>
      <c r="N42" s="989">
        <f t="shared" si="22"/>
        <v>0</v>
      </c>
      <c r="O42" s="989">
        <f t="shared" si="16"/>
        <v>0</v>
      </c>
      <c r="P42" s="989">
        <f t="shared" si="23"/>
        <v>0</v>
      </c>
      <c r="Q42" s="40">
        <f t="shared" si="18"/>
        <v>0</v>
      </c>
      <c r="R42" s="78"/>
      <c r="S42" s="78"/>
      <c r="T42" s="78"/>
      <c r="U42" s="78"/>
      <c r="V42" s="726"/>
      <c r="W42" s="726"/>
      <c r="X42" s="726"/>
      <c r="Y42" s="726"/>
      <c r="Z42" s="726"/>
      <c r="AA42" s="726"/>
      <c r="AB42" s="123"/>
      <c r="AC42" s="123"/>
      <c r="AD42" s="996">
        <f t="shared" si="14"/>
        <v>0</v>
      </c>
      <c r="AE42" s="997">
        <f t="shared" si="15"/>
        <v>0</v>
      </c>
      <c r="AF42" s="989">
        <f t="shared" si="24"/>
        <v>0</v>
      </c>
      <c r="AG42" s="989">
        <f t="shared" si="20"/>
        <v>0</v>
      </c>
      <c r="AH42" s="996">
        <f t="shared" si="21"/>
        <v>0</v>
      </c>
    </row>
    <row r="43" spans="1:34" x14ac:dyDescent="0.25">
      <c r="A43" s="235" t="s">
        <v>878</v>
      </c>
      <c r="B43" s="87"/>
      <c r="C43" s="40"/>
      <c r="D43" s="989"/>
      <c r="E43" s="989"/>
      <c r="F43" s="989"/>
      <c r="G43" s="989"/>
      <c r="H43" s="989"/>
      <c r="I43" s="989"/>
      <c r="J43" s="989"/>
      <c r="K43" s="989"/>
      <c r="L43" s="989"/>
      <c r="M43" s="989"/>
      <c r="N43" s="989">
        <f t="shared" si="22"/>
        <v>0</v>
      </c>
      <c r="O43" s="989">
        <f t="shared" si="16"/>
        <v>0</v>
      </c>
      <c r="P43" s="989">
        <f t="shared" si="23"/>
        <v>0</v>
      </c>
      <c r="Q43" s="40">
        <f t="shared" si="18"/>
        <v>0</v>
      </c>
      <c r="R43" s="109"/>
      <c r="S43" s="109"/>
      <c r="T43" s="109"/>
      <c r="U43" s="109"/>
      <c r="V43" s="990"/>
      <c r="W43" s="990"/>
      <c r="X43" s="990"/>
      <c r="Y43" s="990"/>
      <c r="Z43" s="990"/>
      <c r="AA43" s="990"/>
      <c r="AB43" s="109"/>
      <c r="AC43" s="109"/>
      <c r="AD43" s="996">
        <f t="shared" si="14"/>
        <v>0</v>
      </c>
      <c r="AE43" s="997">
        <f t="shared" si="15"/>
        <v>0</v>
      </c>
      <c r="AF43" s="989">
        <f t="shared" si="24"/>
        <v>0</v>
      </c>
      <c r="AG43" s="989">
        <f t="shared" si="20"/>
        <v>0</v>
      </c>
      <c r="AH43" s="996">
        <f t="shared" si="21"/>
        <v>0</v>
      </c>
    </row>
    <row r="44" spans="1:34" x14ac:dyDescent="0.25">
      <c r="A44" s="235" t="s">
        <v>881</v>
      </c>
      <c r="B44" s="87"/>
      <c r="C44" s="40">
        <v>5000</v>
      </c>
      <c r="D44" s="989"/>
      <c r="E44" s="989"/>
      <c r="F44" s="989"/>
      <c r="G44" s="989"/>
      <c r="H44" s="989"/>
      <c r="I44" s="989"/>
      <c r="J44" s="989"/>
      <c r="K44" s="989"/>
      <c r="L44" s="989"/>
      <c r="M44" s="989"/>
      <c r="N44" s="989">
        <f t="shared" si="22"/>
        <v>5000</v>
      </c>
      <c r="O44" s="989">
        <f t="shared" si="16"/>
        <v>3750</v>
      </c>
      <c r="P44" s="989">
        <f t="shared" si="23"/>
        <v>416.66666666666669</v>
      </c>
      <c r="Q44" s="40">
        <f t="shared" si="18"/>
        <v>4166.666666666667</v>
      </c>
      <c r="R44" s="265"/>
      <c r="S44" s="265"/>
      <c r="T44" s="265"/>
      <c r="U44" s="265"/>
      <c r="V44" s="997"/>
      <c r="W44" s="997"/>
      <c r="X44" s="997"/>
      <c r="Y44" s="997"/>
      <c r="Z44" s="989">
        <v>4160</v>
      </c>
      <c r="AA44" s="997"/>
      <c r="AB44" s="188"/>
      <c r="AC44" s="188"/>
      <c r="AD44" s="996">
        <f t="shared" si="14"/>
        <v>4160</v>
      </c>
      <c r="AE44" s="997">
        <f t="shared" si="15"/>
        <v>0</v>
      </c>
      <c r="AF44" s="989">
        <f t="shared" si="24"/>
        <v>4160</v>
      </c>
      <c r="AG44" s="989">
        <f t="shared" si="20"/>
        <v>6.6666666666669698</v>
      </c>
      <c r="AH44" s="996">
        <f t="shared" si="21"/>
        <v>840</v>
      </c>
    </row>
    <row r="45" spans="1:34" x14ac:dyDescent="0.25">
      <c r="A45" s="235" t="s">
        <v>882</v>
      </c>
      <c r="B45" s="87"/>
      <c r="C45" s="40">
        <v>10000</v>
      </c>
      <c r="D45" s="989"/>
      <c r="E45" s="989"/>
      <c r="F45" s="989"/>
      <c r="G45" s="989"/>
      <c r="H45" s="989"/>
      <c r="I45" s="989"/>
      <c r="J45" s="989"/>
      <c r="K45" s="989"/>
      <c r="L45" s="989"/>
      <c r="M45" s="989"/>
      <c r="N45" s="989">
        <f t="shared" si="22"/>
        <v>10000</v>
      </c>
      <c r="O45" s="989">
        <f t="shared" si="16"/>
        <v>7500</v>
      </c>
      <c r="P45" s="989">
        <f t="shared" si="23"/>
        <v>833.33333333333337</v>
      </c>
      <c r="Q45" s="40">
        <f t="shared" si="18"/>
        <v>8333.3333333333339</v>
      </c>
      <c r="R45" s="40"/>
      <c r="S45" s="109"/>
      <c r="T45" s="109"/>
      <c r="U45" s="109"/>
      <c r="V45" s="990"/>
      <c r="W45" s="990"/>
      <c r="X45" s="990"/>
      <c r="Y45" s="989">
        <v>600</v>
      </c>
      <c r="Z45" s="990"/>
      <c r="AA45" s="990"/>
      <c r="AB45" s="204"/>
      <c r="AC45" s="204"/>
      <c r="AD45" s="996">
        <f t="shared" si="14"/>
        <v>600</v>
      </c>
      <c r="AE45" s="997">
        <f t="shared" si="15"/>
        <v>0</v>
      </c>
      <c r="AF45" s="989">
        <f t="shared" si="24"/>
        <v>600</v>
      </c>
      <c r="AG45" s="989">
        <f t="shared" si="20"/>
        <v>7733.3333333333339</v>
      </c>
      <c r="AH45" s="996">
        <f t="shared" si="21"/>
        <v>9400</v>
      </c>
    </row>
    <row r="46" spans="1:34" x14ac:dyDescent="0.25">
      <c r="A46" s="235" t="s">
        <v>883</v>
      </c>
      <c r="B46" s="87"/>
      <c r="C46" s="40">
        <v>15000</v>
      </c>
      <c r="D46" s="989"/>
      <c r="E46" s="989"/>
      <c r="F46" s="989"/>
      <c r="G46" s="989"/>
      <c r="H46" s="989"/>
      <c r="I46" s="989"/>
      <c r="J46" s="989"/>
      <c r="K46" s="989"/>
      <c r="L46" s="989"/>
      <c r="M46" s="989"/>
      <c r="N46" s="989">
        <f t="shared" si="22"/>
        <v>15000</v>
      </c>
      <c r="O46" s="989">
        <f t="shared" si="16"/>
        <v>11250</v>
      </c>
      <c r="P46" s="989">
        <f t="shared" si="23"/>
        <v>1250</v>
      </c>
      <c r="Q46" s="40">
        <f t="shared" si="18"/>
        <v>12500</v>
      </c>
      <c r="R46" s="265"/>
      <c r="S46" s="265"/>
      <c r="T46" s="265">
        <v>2920</v>
      </c>
      <c r="U46" s="265"/>
      <c r="V46" s="997">
        <v>500</v>
      </c>
      <c r="W46" s="997"/>
      <c r="X46" s="997"/>
      <c r="Y46" s="997"/>
      <c r="Z46" s="997">
        <v>225</v>
      </c>
      <c r="AA46" s="997"/>
      <c r="AB46" s="188"/>
      <c r="AC46" s="188"/>
      <c r="AD46" s="996">
        <f t="shared" si="14"/>
        <v>3645</v>
      </c>
      <c r="AE46" s="997">
        <f t="shared" si="15"/>
        <v>0</v>
      </c>
      <c r="AF46" s="989">
        <f t="shared" si="24"/>
        <v>3645</v>
      </c>
      <c r="AG46" s="989">
        <f t="shared" si="20"/>
        <v>8855</v>
      </c>
      <c r="AH46" s="996">
        <f t="shared" si="21"/>
        <v>11355</v>
      </c>
    </row>
    <row r="47" spans="1:34" x14ac:dyDescent="0.25">
      <c r="A47" s="235" t="s">
        <v>884</v>
      </c>
      <c r="B47" s="87"/>
      <c r="C47" s="40">
        <v>20000</v>
      </c>
      <c r="D47" s="989"/>
      <c r="E47" s="989"/>
      <c r="F47" s="989"/>
      <c r="G47" s="989"/>
      <c r="H47" s="989"/>
      <c r="I47" s="989"/>
      <c r="J47" s="989"/>
      <c r="K47" s="989"/>
      <c r="L47" s="989"/>
      <c r="M47" s="989"/>
      <c r="N47" s="989">
        <f t="shared" si="22"/>
        <v>20000</v>
      </c>
      <c r="O47" s="989">
        <f t="shared" si="16"/>
        <v>15000</v>
      </c>
      <c r="P47" s="989">
        <f t="shared" si="23"/>
        <v>1666.6666666666667</v>
      </c>
      <c r="Q47" s="40">
        <f t="shared" si="18"/>
        <v>16666.666666666668</v>
      </c>
      <c r="R47" s="265"/>
      <c r="S47" s="265"/>
      <c r="T47" s="265">
        <v>4360</v>
      </c>
      <c r="U47" s="265"/>
      <c r="V47" s="997"/>
      <c r="W47" s="997"/>
      <c r="X47" s="997">
        <v>975</v>
      </c>
      <c r="Y47" s="997">
        <v>900</v>
      </c>
      <c r="Z47" s="997">
        <v>1000</v>
      </c>
      <c r="AA47" s="997"/>
      <c r="AB47" s="188"/>
      <c r="AC47" s="188"/>
      <c r="AD47" s="996">
        <f t="shared" si="14"/>
        <v>7235</v>
      </c>
      <c r="AE47" s="997">
        <f t="shared" si="15"/>
        <v>0</v>
      </c>
      <c r="AF47" s="989">
        <f t="shared" si="24"/>
        <v>7235</v>
      </c>
      <c r="AG47" s="989">
        <f t="shared" si="20"/>
        <v>9431.6666666666679</v>
      </c>
      <c r="AH47" s="996">
        <f t="shared" si="21"/>
        <v>12765</v>
      </c>
    </row>
    <row r="48" spans="1:34" ht="26.25" x14ac:dyDescent="0.25">
      <c r="A48" s="499" t="s">
        <v>885</v>
      </c>
      <c r="B48" s="87"/>
      <c r="C48" s="40"/>
      <c r="D48" s="989"/>
      <c r="E48" s="989"/>
      <c r="F48" s="989"/>
      <c r="G48" s="989"/>
      <c r="H48" s="989"/>
      <c r="I48" s="989"/>
      <c r="J48" s="989"/>
      <c r="K48" s="989"/>
      <c r="L48" s="989"/>
      <c r="M48" s="989"/>
      <c r="N48" s="989">
        <f t="shared" si="22"/>
        <v>0</v>
      </c>
      <c r="O48" s="989">
        <f t="shared" si="16"/>
        <v>0</v>
      </c>
      <c r="P48" s="989">
        <f t="shared" si="23"/>
        <v>0</v>
      </c>
      <c r="Q48" s="40">
        <f t="shared" si="18"/>
        <v>0</v>
      </c>
      <c r="R48" s="78"/>
      <c r="S48" s="78"/>
      <c r="T48" s="78"/>
      <c r="U48" s="78"/>
      <c r="V48" s="726"/>
      <c r="W48" s="726"/>
      <c r="X48" s="726"/>
      <c r="Y48" s="726"/>
      <c r="Z48" s="726"/>
      <c r="AA48" s="726"/>
      <c r="AB48" s="78"/>
      <c r="AC48" s="78"/>
      <c r="AD48" s="996">
        <f t="shared" si="14"/>
        <v>0</v>
      </c>
      <c r="AE48" s="997">
        <f t="shared" si="15"/>
        <v>0</v>
      </c>
      <c r="AF48" s="989">
        <f t="shared" si="24"/>
        <v>0</v>
      </c>
      <c r="AG48" s="989">
        <f t="shared" si="20"/>
        <v>0</v>
      </c>
      <c r="AH48" s="996">
        <f t="shared" si="21"/>
        <v>0</v>
      </c>
    </row>
    <row r="49" spans="1:34" x14ac:dyDescent="0.25">
      <c r="A49" s="518" t="s">
        <v>683</v>
      </c>
      <c r="B49" s="169" t="s">
        <v>56</v>
      </c>
      <c r="C49" s="40"/>
      <c r="D49" s="989"/>
      <c r="E49" s="989"/>
      <c r="F49" s="989"/>
      <c r="G49" s="989"/>
      <c r="H49" s="989"/>
      <c r="I49" s="989"/>
      <c r="J49" s="989"/>
      <c r="K49" s="989"/>
      <c r="L49" s="989"/>
      <c r="M49" s="989"/>
      <c r="N49" s="989">
        <f t="shared" si="22"/>
        <v>0</v>
      </c>
      <c r="O49" s="989">
        <f t="shared" si="16"/>
        <v>0</v>
      </c>
      <c r="P49" s="989">
        <f t="shared" si="23"/>
        <v>0</v>
      </c>
      <c r="Q49" s="40">
        <f t="shared" si="18"/>
        <v>0</v>
      </c>
      <c r="R49" s="265"/>
      <c r="S49" s="265"/>
      <c r="T49" s="265"/>
      <c r="U49" s="265"/>
      <c r="V49" s="997"/>
      <c r="W49" s="997"/>
      <c r="X49" s="997"/>
      <c r="Y49" s="997"/>
      <c r="Z49" s="997"/>
      <c r="AA49" s="997"/>
      <c r="AB49" s="188"/>
      <c r="AC49" s="188"/>
      <c r="AD49" s="996">
        <f t="shared" si="14"/>
        <v>0</v>
      </c>
      <c r="AE49" s="997">
        <f t="shared" si="15"/>
        <v>0</v>
      </c>
      <c r="AF49" s="989">
        <f t="shared" si="24"/>
        <v>0</v>
      </c>
      <c r="AG49" s="989">
        <f t="shared" si="20"/>
        <v>0</v>
      </c>
      <c r="AH49" s="996">
        <f t="shared" si="21"/>
        <v>0</v>
      </c>
    </row>
    <row r="50" spans="1:34" x14ac:dyDescent="0.25">
      <c r="A50" s="638" t="s">
        <v>886</v>
      </c>
      <c r="B50" s="169"/>
      <c r="C50" s="40">
        <v>500000</v>
      </c>
      <c r="D50" s="989"/>
      <c r="E50" s="989"/>
      <c r="F50" s="989"/>
      <c r="G50" s="989"/>
      <c r="H50" s="989"/>
      <c r="I50" s="989"/>
      <c r="J50" s="989"/>
      <c r="K50" s="989"/>
      <c r="L50" s="989"/>
      <c r="M50" s="989"/>
      <c r="N50" s="989">
        <f t="shared" si="22"/>
        <v>500000</v>
      </c>
      <c r="O50" s="989">
        <f t="shared" si="16"/>
        <v>375000</v>
      </c>
      <c r="P50" s="989">
        <f t="shared" si="23"/>
        <v>41666.666666666664</v>
      </c>
      <c r="Q50" s="40">
        <f t="shared" si="18"/>
        <v>416666.66666666669</v>
      </c>
      <c r="R50" s="109"/>
      <c r="S50" s="109"/>
      <c r="T50" s="989">
        <v>40280.339999999997</v>
      </c>
      <c r="U50" s="989">
        <v>38374.86</v>
      </c>
      <c r="V50" s="989">
        <v>50345.31</v>
      </c>
      <c r="W50" s="990">
        <v>48160.01</v>
      </c>
      <c r="X50" s="990">
        <v>50910.12</v>
      </c>
      <c r="Y50" s="989">
        <v>75475.740000000005</v>
      </c>
      <c r="Z50" s="990">
        <v>39556.629999999997</v>
      </c>
      <c r="AA50" s="990"/>
      <c r="AB50" s="204"/>
      <c r="AC50" s="204"/>
      <c r="AD50" s="996">
        <f t="shared" si="14"/>
        <v>343103.01</v>
      </c>
      <c r="AE50" s="997">
        <f t="shared" si="15"/>
        <v>0</v>
      </c>
      <c r="AF50" s="989">
        <f t="shared" si="24"/>
        <v>343103.01</v>
      </c>
      <c r="AG50" s="989">
        <f t="shared" si="20"/>
        <v>73563.656666666677</v>
      </c>
      <c r="AH50" s="996">
        <f t="shared" si="21"/>
        <v>156896.99</v>
      </c>
    </row>
    <row r="51" spans="1:34" x14ac:dyDescent="0.25">
      <c r="A51" s="638" t="s">
        <v>887</v>
      </c>
      <c r="B51" s="169"/>
      <c r="C51" s="40">
        <f>50000-23000</f>
        <v>27000</v>
      </c>
      <c r="D51" s="989"/>
      <c r="E51" s="989"/>
      <c r="F51" s="989"/>
      <c r="G51" s="989"/>
      <c r="H51" s="989"/>
      <c r="I51" s="989"/>
      <c r="J51" s="989"/>
      <c r="K51" s="989"/>
      <c r="L51" s="989"/>
      <c r="M51" s="989"/>
      <c r="N51" s="989">
        <f t="shared" si="22"/>
        <v>27000</v>
      </c>
      <c r="O51" s="989">
        <f t="shared" si="16"/>
        <v>20250</v>
      </c>
      <c r="P51" s="989">
        <f t="shared" si="23"/>
        <v>2250</v>
      </c>
      <c r="Q51" s="40">
        <f t="shared" si="18"/>
        <v>22500</v>
      </c>
      <c r="R51" s="109"/>
      <c r="S51" s="109"/>
      <c r="T51" s="989"/>
      <c r="U51" s="989"/>
      <c r="V51" s="989"/>
      <c r="W51" s="990"/>
      <c r="X51" s="990"/>
      <c r="Y51" s="990"/>
      <c r="Z51" s="990"/>
      <c r="AA51" s="990"/>
      <c r="AB51" s="204"/>
      <c r="AC51" s="204"/>
      <c r="AD51" s="996">
        <f t="shared" si="14"/>
        <v>0</v>
      </c>
      <c r="AE51" s="997">
        <f t="shared" si="15"/>
        <v>0</v>
      </c>
      <c r="AF51" s="989">
        <f t="shared" si="24"/>
        <v>0</v>
      </c>
      <c r="AG51" s="989">
        <f t="shared" si="20"/>
        <v>22500</v>
      </c>
      <c r="AH51" s="996">
        <f t="shared" si="21"/>
        <v>27000</v>
      </c>
    </row>
    <row r="52" spans="1:34" x14ac:dyDescent="0.25">
      <c r="A52" s="638" t="s">
        <v>855</v>
      </c>
      <c r="B52" s="169"/>
      <c r="C52" s="40">
        <v>30000</v>
      </c>
      <c r="D52" s="989">
        <v>7000</v>
      </c>
      <c r="E52" s="989"/>
      <c r="F52" s="989"/>
      <c r="G52" s="989"/>
      <c r="H52" s="989"/>
      <c r="I52" s="989"/>
      <c r="J52" s="989"/>
      <c r="K52" s="989"/>
      <c r="L52" s="989"/>
      <c r="M52" s="989"/>
      <c r="N52" s="989">
        <f t="shared" si="22"/>
        <v>37000</v>
      </c>
      <c r="O52" s="989">
        <f t="shared" si="16"/>
        <v>27750</v>
      </c>
      <c r="P52" s="989">
        <f t="shared" si="23"/>
        <v>3083.3333333333335</v>
      </c>
      <c r="Q52" s="40">
        <f t="shared" si="18"/>
        <v>30833.333333333332</v>
      </c>
      <c r="R52" s="265"/>
      <c r="S52" s="265"/>
      <c r="T52" s="997">
        <v>5035.55</v>
      </c>
      <c r="U52" s="997"/>
      <c r="V52" s="997"/>
      <c r="W52" s="997"/>
      <c r="X52" s="997">
        <v>4876.21</v>
      </c>
      <c r="Y52" s="997">
        <v>8550.2800000000007</v>
      </c>
      <c r="Z52" s="997"/>
      <c r="AA52" s="997">
        <v>3294.97</v>
      </c>
      <c r="AB52" s="188"/>
      <c r="AC52" s="188"/>
      <c r="AD52" s="996">
        <f>R52+S52+T52+U52+V52+W52+X52+Y52+Z52</f>
        <v>18462.04</v>
      </c>
      <c r="AE52" s="997">
        <f t="shared" si="15"/>
        <v>3294.97</v>
      </c>
      <c r="AF52" s="989">
        <f t="shared" si="24"/>
        <v>21757.010000000002</v>
      </c>
      <c r="AG52" s="989">
        <f t="shared" si="20"/>
        <v>9076.3233333333301</v>
      </c>
      <c r="AH52" s="996">
        <f t="shared" si="21"/>
        <v>15242.989999999998</v>
      </c>
    </row>
    <row r="53" spans="1:34" x14ac:dyDescent="0.25">
      <c r="A53" s="518" t="s">
        <v>405</v>
      </c>
      <c r="B53" s="169" t="s">
        <v>150</v>
      </c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989">
        <f t="shared" si="22"/>
        <v>0</v>
      </c>
      <c r="O53" s="989">
        <f t="shared" si="16"/>
        <v>0</v>
      </c>
      <c r="P53" s="989">
        <f t="shared" si="23"/>
        <v>0</v>
      </c>
      <c r="Q53" s="40">
        <f t="shared" si="18"/>
        <v>0</v>
      </c>
      <c r="R53" s="265"/>
      <c r="S53" s="265"/>
      <c r="T53" s="265"/>
      <c r="U53" s="265"/>
      <c r="V53" s="997"/>
      <c r="W53" s="997"/>
      <c r="X53" s="997"/>
      <c r="Y53" s="997"/>
      <c r="Z53" s="997"/>
      <c r="AA53" s="997"/>
      <c r="AB53" s="188"/>
      <c r="AC53" s="188"/>
      <c r="AD53" s="996">
        <f t="shared" si="14"/>
        <v>0</v>
      </c>
      <c r="AE53" s="997">
        <f t="shared" si="15"/>
        <v>0</v>
      </c>
      <c r="AF53" s="989">
        <f t="shared" si="24"/>
        <v>0</v>
      </c>
      <c r="AG53" s="989">
        <f t="shared" si="20"/>
        <v>0</v>
      </c>
      <c r="AH53" s="996">
        <f t="shared" si="21"/>
        <v>0</v>
      </c>
    </row>
    <row r="54" spans="1:34" ht="26.25" x14ac:dyDescent="0.25">
      <c r="A54" s="499" t="s">
        <v>1314</v>
      </c>
      <c r="B54" s="87"/>
      <c r="C54" s="40">
        <v>10000</v>
      </c>
      <c r="D54" s="989"/>
      <c r="E54" s="989"/>
      <c r="F54" s="989"/>
      <c r="G54" s="989"/>
      <c r="H54" s="989"/>
      <c r="I54" s="989"/>
      <c r="J54" s="989"/>
      <c r="K54" s="989"/>
      <c r="L54" s="989"/>
      <c r="M54" s="989">
        <v>83000</v>
      </c>
      <c r="N54" s="989">
        <f t="shared" si="22"/>
        <v>93000</v>
      </c>
      <c r="O54" s="989">
        <f t="shared" si="16"/>
        <v>69750</v>
      </c>
      <c r="P54" s="989">
        <f t="shared" si="23"/>
        <v>7750</v>
      </c>
      <c r="Q54" s="40">
        <f t="shared" si="18"/>
        <v>77500</v>
      </c>
      <c r="R54" s="265"/>
      <c r="S54" s="265"/>
      <c r="T54" s="265"/>
      <c r="U54" s="265">
        <v>9500</v>
      </c>
      <c r="V54" s="997"/>
      <c r="W54" s="997"/>
      <c r="X54" s="997"/>
      <c r="Y54" s="997">
        <v>450</v>
      </c>
      <c r="Z54" s="997">
        <f>2055+26600+950+50</f>
        <v>29655</v>
      </c>
      <c r="AA54" s="997"/>
      <c r="AB54" s="188"/>
      <c r="AC54" s="188"/>
      <c r="AD54" s="996">
        <f t="shared" si="14"/>
        <v>39605</v>
      </c>
      <c r="AE54" s="997">
        <f t="shared" si="15"/>
        <v>0</v>
      </c>
      <c r="AF54" s="989">
        <f t="shared" si="24"/>
        <v>39605</v>
      </c>
      <c r="AG54" s="989">
        <f t="shared" si="20"/>
        <v>37895</v>
      </c>
      <c r="AH54" s="996">
        <f t="shared" si="21"/>
        <v>53395</v>
      </c>
    </row>
    <row r="55" spans="1:34" s="987" customFormat="1" x14ac:dyDescent="0.25">
      <c r="A55" s="499" t="s">
        <v>1301</v>
      </c>
      <c r="B55" s="916"/>
      <c r="C55" s="989"/>
      <c r="D55" s="989"/>
      <c r="E55" s="989"/>
      <c r="F55" s="989"/>
      <c r="G55" s="989"/>
      <c r="H55" s="989"/>
      <c r="I55" s="989">
        <v>15000</v>
      </c>
      <c r="J55" s="989"/>
      <c r="K55" s="989"/>
      <c r="L55" s="989"/>
      <c r="M55" s="989">
        <v>14500</v>
      </c>
      <c r="N55" s="989">
        <f t="shared" si="22"/>
        <v>29500</v>
      </c>
      <c r="O55" s="989">
        <f t="shared" si="16"/>
        <v>22125</v>
      </c>
      <c r="P55" s="989">
        <f t="shared" si="23"/>
        <v>2458.3333333333335</v>
      </c>
      <c r="Q55" s="989"/>
      <c r="R55" s="997"/>
      <c r="S55" s="997"/>
      <c r="T55" s="997"/>
      <c r="U55" s="997"/>
      <c r="V55" s="997"/>
      <c r="W55" s="997"/>
      <c r="X55" s="997"/>
      <c r="Y55" s="997"/>
      <c r="Z55" s="997"/>
      <c r="AA55" s="997"/>
      <c r="AB55" s="937"/>
      <c r="AC55" s="937"/>
      <c r="AD55" s="996">
        <f t="shared" si="14"/>
        <v>0</v>
      </c>
      <c r="AE55" s="997">
        <f t="shared" si="15"/>
        <v>0</v>
      </c>
      <c r="AF55" s="989"/>
      <c r="AG55" s="989">
        <f t="shared" si="20"/>
        <v>0</v>
      </c>
      <c r="AH55" s="996">
        <f t="shared" si="21"/>
        <v>29500</v>
      </c>
    </row>
    <row r="56" spans="1:34" x14ac:dyDescent="0.25">
      <c r="A56" s="638" t="s">
        <v>888</v>
      </c>
      <c r="B56" s="169"/>
      <c r="C56" s="40">
        <v>10000</v>
      </c>
      <c r="D56" s="989"/>
      <c r="E56" s="989"/>
      <c r="F56" s="989"/>
      <c r="G56" s="989"/>
      <c r="H56" s="989"/>
      <c r="I56" s="989">
        <v>15000</v>
      </c>
      <c r="J56" s="989"/>
      <c r="K56" s="989"/>
      <c r="L56" s="989"/>
      <c r="M56" s="989"/>
      <c r="N56" s="989">
        <f t="shared" si="22"/>
        <v>25000</v>
      </c>
      <c r="O56" s="989">
        <f t="shared" si="16"/>
        <v>18750</v>
      </c>
      <c r="P56" s="989">
        <f t="shared" si="23"/>
        <v>2083.3333333333335</v>
      </c>
      <c r="Q56" s="40">
        <f t="shared" si="18"/>
        <v>20833.333333333332</v>
      </c>
      <c r="R56" s="265"/>
      <c r="S56" s="265"/>
      <c r="T56" s="265"/>
      <c r="U56" s="265"/>
      <c r="V56" s="997"/>
      <c r="W56" s="997"/>
      <c r="X56" s="997"/>
      <c r="Y56" s="997"/>
      <c r="Z56" s="997"/>
      <c r="AA56" s="997"/>
      <c r="AB56" s="188"/>
      <c r="AC56" s="188"/>
      <c r="AD56" s="996">
        <f t="shared" si="14"/>
        <v>0</v>
      </c>
      <c r="AE56" s="997">
        <f t="shared" si="15"/>
        <v>0</v>
      </c>
      <c r="AF56" s="989">
        <f t="shared" si="24"/>
        <v>0</v>
      </c>
      <c r="AG56" s="989">
        <f t="shared" si="20"/>
        <v>20833.333333333332</v>
      </c>
      <c r="AH56" s="996">
        <f t="shared" si="21"/>
        <v>25000</v>
      </c>
    </row>
    <row r="57" spans="1:34" x14ac:dyDescent="0.25">
      <c r="A57" s="201" t="s">
        <v>481</v>
      </c>
      <c r="B57" s="169" t="s">
        <v>60</v>
      </c>
      <c r="C57" s="40">
        <v>44000</v>
      </c>
      <c r="D57" s="989"/>
      <c r="E57" s="989"/>
      <c r="F57" s="989"/>
      <c r="G57" s="989"/>
      <c r="H57" s="989"/>
      <c r="I57" s="989"/>
      <c r="J57" s="989"/>
      <c r="K57" s="989"/>
      <c r="L57" s="989"/>
      <c r="M57" s="989"/>
      <c r="N57" s="989">
        <f t="shared" si="22"/>
        <v>44000</v>
      </c>
      <c r="O57" s="989">
        <f t="shared" si="16"/>
        <v>33000</v>
      </c>
      <c r="P57" s="989">
        <f t="shared" si="23"/>
        <v>3666.6666666666665</v>
      </c>
      <c r="Q57" s="40">
        <f t="shared" si="18"/>
        <v>36666.666666666664</v>
      </c>
      <c r="R57" s="265">
        <v>3599.36</v>
      </c>
      <c r="S57" s="265">
        <v>3598.36</v>
      </c>
      <c r="T57" s="265">
        <v>3602</v>
      </c>
      <c r="U57" s="265">
        <v>3602</v>
      </c>
      <c r="V57" s="997">
        <v>3600.37</v>
      </c>
      <c r="W57" s="997">
        <v>3601</v>
      </c>
      <c r="X57" s="997">
        <v>3601</v>
      </c>
      <c r="Y57" s="997">
        <v>3601</v>
      </c>
      <c r="Z57" s="997">
        <v>3136.98</v>
      </c>
      <c r="AA57" s="708">
        <v>3537.99</v>
      </c>
      <c r="AB57" s="188"/>
      <c r="AC57" s="188"/>
      <c r="AD57" s="996">
        <f>R57+S57+T57+U57+V57+W57+X57+Y57+Z57</f>
        <v>31942.07</v>
      </c>
      <c r="AE57" s="997">
        <f t="shared" si="15"/>
        <v>3537.99</v>
      </c>
      <c r="AF57" s="989">
        <f t="shared" si="24"/>
        <v>35480.06</v>
      </c>
      <c r="AG57" s="989">
        <f t="shared" si="20"/>
        <v>1186.6066666666666</v>
      </c>
      <c r="AH57" s="996">
        <f t="shared" si="21"/>
        <v>8519.9400000000023</v>
      </c>
    </row>
    <row r="58" spans="1:34" x14ac:dyDescent="0.25">
      <c r="A58" s="201" t="s">
        <v>61</v>
      </c>
      <c r="B58" s="169" t="s">
        <v>62</v>
      </c>
      <c r="C58" s="40">
        <v>34000</v>
      </c>
      <c r="D58" s="989"/>
      <c r="E58" s="989"/>
      <c r="F58" s="989"/>
      <c r="G58" s="989"/>
      <c r="H58" s="989"/>
      <c r="I58" s="989"/>
      <c r="J58" s="989"/>
      <c r="K58" s="989"/>
      <c r="L58" s="989"/>
      <c r="M58" s="989"/>
      <c r="N58" s="989">
        <f t="shared" si="22"/>
        <v>34000</v>
      </c>
      <c r="O58" s="989">
        <f t="shared" si="16"/>
        <v>25500</v>
      </c>
      <c r="P58" s="989">
        <f t="shared" si="23"/>
        <v>2833.3333333333335</v>
      </c>
      <c r="Q58" s="40">
        <f t="shared" si="18"/>
        <v>28333.333333333332</v>
      </c>
      <c r="R58" s="265">
        <v>2768.02</v>
      </c>
      <c r="S58" s="265">
        <v>2707.61</v>
      </c>
      <c r="T58" s="265">
        <v>2746</v>
      </c>
      <c r="U58" s="265">
        <v>2796</v>
      </c>
      <c r="V58" s="997">
        <v>2654</v>
      </c>
      <c r="W58" s="997">
        <v>2748</v>
      </c>
      <c r="X58" s="997">
        <v>2718</v>
      </c>
      <c r="Y58" s="997">
        <v>4146</v>
      </c>
      <c r="Z58" s="997">
        <v>1398</v>
      </c>
      <c r="AA58" s="997">
        <v>2690</v>
      </c>
      <c r="AB58" s="188"/>
      <c r="AC58" s="188"/>
      <c r="AD58" s="996">
        <f t="shared" si="14"/>
        <v>24681.63</v>
      </c>
      <c r="AE58" s="997">
        <f t="shared" si="15"/>
        <v>2690</v>
      </c>
      <c r="AF58" s="989">
        <f t="shared" si="24"/>
        <v>27371.63</v>
      </c>
      <c r="AG58" s="989">
        <f t="shared" si="20"/>
        <v>961.7033333333311</v>
      </c>
      <c r="AH58" s="996">
        <f t="shared" si="21"/>
        <v>6628.369999999999</v>
      </c>
    </row>
    <row r="59" spans="1:34" s="987" customFormat="1" x14ac:dyDescent="0.25">
      <c r="A59" s="932" t="s">
        <v>67</v>
      </c>
      <c r="B59" s="735"/>
      <c r="C59" s="989"/>
      <c r="D59" s="989"/>
      <c r="E59" s="989"/>
      <c r="F59" s="989"/>
      <c r="G59" s="989"/>
      <c r="H59" s="989"/>
      <c r="I59" s="989"/>
      <c r="J59" s="989"/>
      <c r="K59" s="989"/>
      <c r="L59" s="989"/>
      <c r="M59" s="989">
        <v>3000</v>
      </c>
      <c r="N59" s="989">
        <f t="shared" si="22"/>
        <v>3000</v>
      </c>
      <c r="O59" s="989">
        <f t="shared" si="16"/>
        <v>2250</v>
      </c>
      <c r="P59" s="989">
        <f t="shared" si="23"/>
        <v>250</v>
      </c>
      <c r="Q59" s="989"/>
      <c r="R59" s="997"/>
      <c r="S59" s="997"/>
      <c r="T59" s="997"/>
      <c r="U59" s="997"/>
      <c r="V59" s="997"/>
      <c r="W59" s="997"/>
      <c r="X59" s="997">
        <v>600</v>
      </c>
      <c r="Y59" s="997"/>
      <c r="Z59" s="997"/>
      <c r="AA59" s="997"/>
      <c r="AB59" s="937"/>
      <c r="AC59" s="937"/>
      <c r="AD59" s="996">
        <f t="shared" si="14"/>
        <v>600</v>
      </c>
      <c r="AE59" s="997">
        <f t="shared" si="15"/>
        <v>0</v>
      </c>
      <c r="AF59" s="989">
        <f t="shared" si="24"/>
        <v>600</v>
      </c>
      <c r="AG59" s="989">
        <f t="shared" si="20"/>
        <v>-600</v>
      </c>
      <c r="AH59" s="996">
        <f t="shared" si="21"/>
        <v>2400</v>
      </c>
    </row>
    <row r="60" spans="1:34" x14ac:dyDescent="0.25">
      <c r="A60" s="201" t="s">
        <v>232</v>
      </c>
      <c r="B60" s="169" t="s">
        <v>64</v>
      </c>
      <c r="C60" s="40"/>
      <c r="D60" s="989"/>
      <c r="E60" s="989"/>
      <c r="F60" s="989"/>
      <c r="G60" s="989"/>
      <c r="H60" s="989"/>
      <c r="I60" s="989"/>
      <c r="J60" s="989"/>
      <c r="K60" s="989"/>
      <c r="L60" s="989"/>
      <c r="M60" s="989"/>
      <c r="N60" s="989">
        <f t="shared" si="22"/>
        <v>0</v>
      </c>
      <c r="O60" s="989">
        <f t="shared" si="16"/>
        <v>0</v>
      </c>
      <c r="P60" s="989">
        <f t="shared" si="23"/>
        <v>0</v>
      </c>
      <c r="Q60" s="40">
        <f t="shared" ref="Q60:Q81" si="25">O60+P60</f>
        <v>0</v>
      </c>
      <c r="R60" s="265"/>
      <c r="S60" s="265"/>
      <c r="T60" s="265"/>
      <c r="U60" s="265"/>
      <c r="V60" s="997"/>
      <c r="W60" s="997"/>
      <c r="X60" s="997"/>
      <c r="Y60" s="997"/>
      <c r="Z60" s="997"/>
      <c r="AA60" s="997"/>
      <c r="AB60" s="188"/>
      <c r="AC60" s="188"/>
      <c r="AD60" s="996">
        <f t="shared" si="14"/>
        <v>0</v>
      </c>
      <c r="AE60" s="997">
        <f t="shared" si="15"/>
        <v>0</v>
      </c>
      <c r="AF60" s="989">
        <f t="shared" si="24"/>
        <v>0</v>
      </c>
      <c r="AG60" s="989">
        <f t="shared" si="20"/>
        <v>0</v>
      </c>
      <c r="AH60" s="996">
        <f t="shared" si="21"/>
        <v>0</v>
      </c>
    </row>
    <row r="61" spans="1:34" x14ac:dyDescent="0.25">
      <c r="A61" s="235" t="s">
        <v>889</v>
      </c>
      <c r="B61" s="169"/>
      <c r="C61" s="40">
        <v>10000</v>
      </c>
      <c r="D61" s="989"/>
      <c r="E61" s="989"/>
      <c r="F61" s="989"/>
      <c r="G61" s="989"/>
      <c r="H61" s="989"/>
      <c r="I61" s="989"/>
      <c r="J61" s="989"/>
      <c r="K61" s="989"/>
      <c r="L61" s="989"/>
      <c r="M61" s="989"/>
      <c r="N61" s="989">
        <f t="shared" si="22"/>
        <v>10000</v>
      </c>
      <c r="O61" s="989">
        <f t="shared" si="16"/>
        <v>7500</v>
      </c>
      <c r="P61" s="989">
        <f t="shared" si="23"/>
        <v>833.33333333333337</v>
      </c>
      <c r="Q61" s="40">
        <f t="shared" si="25"/>
        <v>8333.3333333333339</v>
      </c>
      <c r="R61" s="265"/>
      <c r="S61" s="265"/>
      <c r="T61" s="265"/>
      <c r="U61" s="265"/>
      <c r="V61" s="997"/>
      <c r="W61" s="997"/>
      <c r="X61" s="997"/>
      <c r="Y61" s="997"/>
      <c r="Z61" s="997"/>
      <c r="AA61" s="997"/>
      <c r="AB61" s="188"/>
      <c r="AC61" s="188"/>
      <c r="AD61" s="996">
        <f t="shared" si="14"/>
        <v>0</v>
      </c>
      <c r="AE61" s="997">
        <f t="shared" si="15"/>
        <v>0</v>
      </c>
      <c r="AF61" s="989">
        <f t="shared" si="24"/>
        <v>0</v>
      </c>
      <c r="AG61" s="989">
        <f t="shared" si="20"/>
        <v>8333.3333333333339</v>
      </c>
      <c r="AH61" s="996">
        <f t="shared" si="21"/>
        <v>10000</v>
      </c>
    </row>
    <row r="62" spans="1:34" x14ac:dyDescent="0.25">
      <c r="A62" s="201" t="s">
        <v>484</v>
      </c>
      <c r="B62" s="169" t="s">
        <v>600</v>
      </c>
      <c r="C62" s="40"/>
      <c r="D62" s="989"/>
      <c r="E62" s="989"/>
      <c r="F62" s="989"/>
      <c r="G62" s="989"/>
      <c r="H62" s="989"/>
      <c r="I62" s="989"/>
      <c r="J62" s="989"/>
      <c r="K62" s="989"/>
      <c r="L62" s="989"/>
      <c r="M62" s="989"/>
      <c r="N62" s="989">
        <f t="shared" si="22"/>
        <v>0</v>
      </c>
      <c r="O62" s="989">
        <f t="shared" si="16"/>
        <v>0</v>
      </c>
      <c r="P62" s="989">
        <f t="shared" si="23"/>
        <v>0</v>
      </c>
      <c r="Q62" s="40">
        <f t="shared" si="25"/>
        <v>0</v>
      </c>
      <c r="R62" s="265"/>
      <c r="S62" s="265"/>
      <c r="T62" s="265"/>
      <c r="U62" s="265"/>
      <c r="V62" s="997"/>
      <c r="W62" s="997"/>
      <c r="X62" s="997"/>
      <c r="Y62" s="997"/>
      <c r="Z62" s="997"/>
      <c r="AA62" s="997"/>
      <c r="AB62" s="188"/>
      <c r="AC62" s="188"/>
      <c r="AD62" s="996">
        <f t="shared" si="14"/>
        <v>0</v>
      </c>
      <c r="AE62" s="997">
        <f t="shared" si="15"/>
        <v>0</v>
      </c>
      <c r="AF62" s="989">
        <f t="shared" si="24"/>
        <v>0</v>
      </c>
      <c r="AG62" s="989">
        <f t="shared" si="20"/>
        <v>0</v>
      </c>
      <c r="AH62" s="996">
        <f t="shared" si="21"/>
        <v>0</v>
      </c>
    </row>
    <row r="63" spans="1:34" x14ac:dyDescent="0.25">
      <c r="A63" s="639" t="s">
        <v>890</v>
      </c>
      <c r="B63" s="169"/>
      <c r="C63" s="40"/>
      <c r="D63" s="989"/>
      <c r="E63" s="989"/>
      <c r="F63" s="989"/>
      <c r="G63" s="989"/>
      <c r="H63" s="989"/>
      <c r="I63" s="989"/>
      <c r="J63" s="989"/>
      <c r="K63" s="989"/>
      <c r="L63" s="989"/>
      <c r="M63" s="989"/>
      <c r="N63" s="989">
        <f t="shared" si="22"/>
        <v>0</v>
      </c>
      <c r="O63" s="989">
        <f t="shared" si="16"/>
        <v>0</v>
      </c>
      <c r="P63" s="989">
        <f t="shared" si="23"/>
        <v>0</v>
      </c>
      <c r="Q63" s="40">
        <f t="shared" si="25"/>
        <v>0</v>
      </c>
      <c r="R63" s="265"/>
      <c r="S63" s="265"/>
      <c r="T63" s="265"/>
      <c r="U63" s="265"/>
      <c r="V63" s="997"/>
      <c r="W63" s="997"/>
      <c r="X63" s="997"/>
      <c r="Y63" s="997"/>
      <c r="Z63" s="997"/>
      <c r="AA63" s="997"/>
      <c r="AB63" s="188"/>
      <c r="AC63" s="188"/>
      <c r="AD63" s="996">
        <f t="shared" si="14"/>
        <v>0</v>
      </c>
      <c r="AE63" s="997">
        <f t="shared" si="15"/>
        <v>0</v>
      </c>
      <c r="AF63" s="989">
        <f t="shared" si="24"/>
        <v>0</v>
      </c>
      <c r="AG63" s="989">
        <f t="shared" si="20"/>
        <v>0</v>
      </c>
      <c r="AH63" s="996">
        <f t="shared" si="21"/>
        <v>0</v>
      </c>
    </row>
    <row r="64" spans="1:34" ht="26.25" x14ac:dyDescent="0.25">
      <c r="A64" s="640" t="s">
        <v>891</v>
      </c>
      <c r="B64" s="169"/>
      <c r="C64" s="40"/>
      <c r="D64" s="989"/>
      <c r="E64" s="989"/>
      <c r="F64" s="989"/>
      <c r="G64" s="989"/>
      <c r="H64" s="989"/>
      <c r="I64" s="989"/>
      <c r="J64" s="989"/>
      <c r="K64" s="989"/>
      <c r="L64" s="989"/>
      <c r="M64" s="989"/>
      <c r="N64" s="989">
        <f t="shared" ref="N64:N82" si="26">SUM(C64:M64)</f>
        <v>0</v>
      </c>
      <c r="O64" s="989">
        <f t="shared" si="16"/>
        <v>0</v>
      </c>
      <c r="P64" s="989">
        <f t="shared" si="23"/>
        <v>0</v>
      </c>
      <c r="Q64" s="40">
        <f t="shared" si="25"/>
        <v>0</v>
      </c>
      <c r="R64" s="265"/>
      <c r="S64" s="265"/>
      <c r="T64" s="265"/>
      <c r="U64" s="265"/>
      <c r="V64" s="997"/>
      <c r="W64" s="997"/>
      <c r="X64" s="997"/>
      <c r="Y64" s="997"/>
      <c r="Z64" s="997"/>
      <c r="AA64" s="997"/>
      <c r="AB64" s="188"/>
      <c r="AC64" s="188"/>
      <c r="AD64" s="996">
        <f t="shared" si="14"/>
        <v>0</v>
      </c>
      <c r="AE64" s="997">
        <f t="shared" si="15"/>
        <v>0</v>
      </c>
      <c r="AF64" s="989">
        <f t="shared" si="24"/>
        <v>0</v>
      </c>
      <c r="AG64" s="989">
        <f t="shared" si="20"/>
        <v>0</v>
      </c>
      <c r="AH64" s="996">
        <f t="shared" si="21"/>
        <v>0</v>
      </c>
    </row>
    <row r="65" spans="1:34" ht="16.5" x14ac:dyDescent="0.3">
      <c r="A65" s="235" t="s">
        <v>892</v>
      </c>
      <c r="B65" s="643"/>
      <c r="C65" s="40"/>
      <c r="D65" s="989"/>
      <c r="E65" s="989"/>
      <c r="F65" s="989"/>
      <c r="G65" s="989"/>
      <c r="H65" s="989"/>
      <c r="I65" s="989"/>
      <c r="J65" s="989"/>
      <c r="K65" s="989"/>
      <c r="L65" s="989"/>
      <c r="M65" s="989"/>
      <c r="N65" s="989">
        <f t="shared" si="26"/>
        <v>0</v>
      </c>
      <c r="O65" s="989">
        <f t="shared" si="16"/>
        <v>0</v>
      </c>
      <c r="P65" s="989">
        <f t="shared" si="23"/>
        <v>0</v>
      </c>
      <c r="Q65" s="40">
        <f t="shared" si="25"/>
        <v>0</v>
      </c>
      <c r="R65" s="265"/>
      <c r="S65" s="265"/>
      <c r="T65" s="265"/>
      <c r="U65" s="265"/>
      <c r="V65" s="997"/>
      <c r="W65" s="997"/>
      <c r="X65" s="997"/>
      <c r="Y65" s="997"/>
      <c r="Z65" s="997"/>
      <c r="AA65" s="997"/>
      <c r="AB65" s="188"/>
      <c r="AC65" s="188"/>
      <c r="AD65" s="996">
        <f t="shared" si="14"/>
        <v>0</v>
      </c>
      <c r="AE65" s="997">
        <f t="shared" si="15"/>
        <v>0</v>
      </c>
      <c r="AF65" s="989">
        <f t="shared" si="24"/>
        <v>0</v>
      </c>
      <c r="AG65" s="989">
        <f t="shared" si="20"/>
        <v>0</v>
      </c>
      <c r="AH65" s="996">
        <f t="shared" si="21"/>
        <v>0</v>
      </c>
    </row>
    <row r="66" spans="1:34" s="987" customFormat="1" ht="16.5" x14ac:dyDescent="0.3">
      <c r="A66" s="235" t="s">
        <v>152</v>
      </c>
      <c r="B66" s="643"/>
      <c r="C66" s="989"/>
      <c r="D66" s="989"/>
      <c r="E66" s="989"/>
      <c r="F66" s="989"/>
      <c r="G66" s="989"/>
      <c r="H66" s="989"/>
      <c r="I66" s="989"/>
      <c r="J66" s="989"/>
      <c r="K66" s="989"/>
      <c r="L66" s="989"/>
      <c r="M66" s="989">
        <v>19500</v>
      </c>
      <c r="N66" s="989">
        <f t="shared" si="26"/>
        <v>19500</v>
      </c>
      <c r="O66" s="989">
        <f t="shared" si="16"/>
        <v>14625</v>
      </c>
      <c r="P66" s="989">
        <f t="shared" si="23"/>
        <v>1625</v>
      </c>
      <c r="Q66" s="989"/>
      <c r="R66" s="997"/>
      <c r="S66" s="997"/>
      <c r="T66" s="997"/>
      <c r="U66" s="997"/>
      <c r="V66" s="997"/>
      <c r="W66" s="997"/>
      <c r="X66" s="997"/>
      <c r="Y66" s="997"/>
      <c r="Z66" s="997"/>
      <c r="AA66" s="997"/>
      <c r="AB66" s="937"/>
      <c r="AC66" s="937"/>
      <c r="AD66" s="996">
        <f t="shared" si="14"/>
        <v>0</v>
      </c>
      <c r="AE66" s="997">
        <f t="shared" si="15"/>
        <v>0</v>
      </c>
      <c r="AF66" s="989"/>
      <c r="AG66" s="989">
        <f t="shared" si="20"/>
        <v>0</v>
      </c>
      <c r="AH66" s="996">
        <f t="shared" si="21"/>
        <v>19500</v>
      </c>
    </row>
    <row r="67" spans="1:34" x14ac:dyDescent="0.25">
      <c r="A67" s="201" t="s">
        <v>69</v>
      </c>
      <c r="B67" s="169" t="s">
        <v>70</v>
      </c>
      <c r="C67" s="40">
        <f>600000+17400+7200</f>
        <v>624600</v>
      </c>
      <c r="D67" s="989">
        <f>-60000</f>
        <v>-60000</v>
      </c>
      <c r="E67" s="989"/>
      <c r="F67" s="989"/>
      <c r="G67" s="989"/>
      <c r="H67" s="989"/>
      <c r="I67" s="989"/>
      <c r="J67" s="989"/>
      <c r="K67" s="989"/>
      <c r="L67" s="989"/>
      <c r="M67" s="989">
        <v>80000</v>
      </c>
      <c r="N67" s="989">
        <f t="shared" si="26"/>
        <v>644600</v>
      </c>
      <c r="O67" s="989">
        <f t="shared" si="16"/>
        <v>483450</v>
      </c>
      <c r="P67" s="989">
        <f t="shared" si="23"/>
        <v>53716.666666666664</v>
      </c>
      <c r="Q67" s="40">
        <f t="shared" si="25"/>
        <v>537166.66666666663</v>
      </c>
      <c r="R67" s="265">
        <v>31959.02</v>
      </c>
      <c r="S67" s="265">
        <v>49453.23</v>
      </c>
      <c r="T67" s="265">
        <v>49843.17</v>
      </c>
      <c r="U67" s="265">
        <v>50285</v>
      </c>
      <c r="V67" s="997">
        <v>49900</v>
      </c>
      <c r="W67" s="997">
        <v>60956.38</v>
      </c>
      <c r="X67" s="997">
        <f>36530.45</f>
        <v>36530.449999999997</v>
      </c>
      <c r="Y67" s="997">
        <v>50293.33</v>
      </c>
      <c r="Z67" s="997">
        <v>49900</v>
      </c>
      <c r="AA67" s="997">
        <v>50300</v>
      </c>
      <c r="AB67" s="188"/>
      <c r="AC67" s="188"/>
      <c r="AD67" s="996">
        <f t="shared" si="14"/>
        <v>429120.58</v>
      </c>
      <c r="AE67" s="997">
        <f t="shared" si="15"/>
        <v>50300</v>
      </c>
      <c r="AF67" s="989">
        <f t="shared" si="24"/>
        <v>479420.58</v>
      </c>
      <c r="AG67" s="989">
        <f t="shared" si="20"/>
        <v>57746.086666666612</v>
      </c>
      <c r="AH67" s="996">
        <f t="shared" si="21"/>
        <v>165179.41999999998</v>
      </c>
    </row>
    <row r="68" spans="1:34" x14ac:dyDescent="0.25">
      <c r="A68" s="201" t="s">
        <v>283</v>
      </c>
      <c r="B68" s="87" t="s">
        <v>225</v>
      </c>
      <c r="C68" s="40">
        <f>1000000+183600+18200+14400</f>
        <v>1216200</v>
      </c>
      <c r="D68" s="989"/>
      <c r="E68" s="989"/>
      <c r="F68" s="989"/>
      <c r="G68" s="989"/>
      <c r="H68" s="989"/>
      <c r="I68" s="989"/>
      <c r="J68" s="989"/>
      <c r="K68" s="989"/>
      <c r="L68" s="989"/>
      <c r="M68" s="989">
        <v>300000</v>
      </c>
      <c r="N68" s="989">
        <f t="shared" si="26"/>
        <v>1516200</v>
      </c>
      <c r="O68" s="989">
        <f t="shared" si="16"/>
        <v>1137150</v>
      </c>
      <c r="P68" s="989">
        <f t="shared" si="23"/>
        <v>126350</v>
      </c>
      <c r="Q68" s="40">
        <f t="shared" si="25"/>
        <v>1263500</v>
      </c>
      <c r="R68" s="265">
        <v>70702.63</v>
      </c>
      <c r="S68" s="265">
        <v>96311.33</v>
      </c>
      <c r="T68" s="265">
        <v>107006.3</v>
      </c>
      <c r="U68" s="265">
        <v>102054.46</v>
      </c>
      <c r="V68" s="997">
        <v>96127.27</v>
      </c>
      <c r="W68" s="997">
        <v>108121.94</v>
      </c>
      <c r="X68" s="997">
        <f>79700.15+4282.66</f>
        <v>83982.81</v>
      </c>
      <c r="Y68" s="997">
        <v>103467.24</v>
      </c>
      <c r="Z68" s="997">
        <v>116421.82</v>
      </c>
      <c r="AA68" s="997">
        <v>108381.81</v>
      </c>
      <c r="AB68" s="188"/>
      <c r="AC68" s="188"/>
      <c r="AD68" s="996">
        <f t="shared" si="14"/>
        <v>884195.8</v>
      </c>
      <c r="AE68" s="997">
        <f t="shared" si="15"/>
        <v>108381.81</v>
      </c>
      <c r="AF68" s="989">
        <f t="shared" si="24"/>
        <v>992577.6100000001</v>
      </c>
      <c r="AG68" s="989">
        <f t="shared" si="20"/>
        <v>270922.3899999999</v>
      </c>
      <c r="AH68" s="996">
        <f t="shared" si="21"/>
        <v>523622.3899999999</v>
      </c>
    </row>
    <row r="69" spans="1:34" x14ac:dyDescent="0.25">
      <c r="A69" s="61" t="s">
        <v>893</v>
      </c>
      <c r="B69" s="169" t="s">
        <v>76</v>
      </c>
      <c r="C69" s="52"/>
      <c r="D69" s="720"/>
      <c r="E69" s="720"/>
      <c r="F69" s="720"/>
      <c r="G69" s="720"/>
      <c r="H69" s="720"/>
      <c r="I69" s="720"/>
      <c r="J69" s="720"/>
      <c r="K69" s="720"/>
      <c r="L69" s="720"/>
      <c r="M69" s="720"/>
      <c r="N69" s="989">
        <f t="shared" si="26"/>
        <v>0</v>
      </c>
      <c r="O69" s="989">
        <f t="shared" si="16"/>
        <v>0</v>
      </c>
      <c r="P69" s="989">
        <f t="shared" si="23"/>
        <v>0</v>
      </c>
      <c r="Q69" s="40">
        <f t="shared" si="25"/>
        <v>0</v>
      </c>
      <c r="R69" s="265"/>
      <c r="S69" s="265"/>
      <c r="T69" s="265"/>
      <c r="U69" s="265"/>
      <c r="V69" s="997"/>
      <c r="W69" s="997"/>
      <c r="X69" s="997"/>
      <c r="Y69" s="997"/>
      <c r="Z69" s="997"/>
      <c r="AA69" s="997"/>
      <c r="AB69" s="188"/>
      <c r="AC69" s="188"/>
      <c r="AD69" s="996">
        <f t="shared" si="14"/>
        <v>0</v>
      </c>
      <c r="AE69" s="997">
        <f t="shared" si="15"/>
        <v>0</v>
      </c>
      <c r="AF69" s="989">
        <f t="shared" si="24"/>
        <v>0</v>
      </c>
      <c r="AG69" s="989">
        <f t="shared" si="20"/>
        <v>0</v>
      </c>
      <c r="AH69" s="996">
        <f t="shared" si="21"/>
        <v>0</v>
      </c>
    </row>
    <row r="70" spans="1:34" x14ac:dyDescent="0.25">
      <c r="A70" s="638" t="s">
        <v>325</v>
      </c>
      <c r="B70" s="169"/>
      <c r="C70" s="40">
        <v>2000</v>
      </c>
      <c r="D70" s="989"/>
      <c r="E70" s="989"/>
      <c r="F70" s="989"/>
      <c r="G70" s="989"/>
      <c r="H70" s="989"/>
      <c r="I70" s="989"/>
      <c r="J70" s="989"/>
      <c r="K70" s="989"/>
      <c r="L70" s="989"/>
      <c r="M70" s="989"/>
      <c r="N70" s="989">
        <f t="shared" si="26"/>
        <v>2000</v>
      </c>
      <c r="O70" s="989">
        <f t="shared" si="16"/>
        <v>1500</v>
      </c>
      <c r="P70" s="989">
        <f t="shared" si="23"/>
        <v>166.66666666666666</v>
      </c>
      <c r="Q70" s="40">
        <f t="shared" si="25"/>
        <v>1666.6666666666667</v>
      </c>
      <c r="R70" s="265"/>
      <c r="S70" s="265"/>
      <c r="T70" s="265"/>
      <c r="U70" s="265"/>
      <c r="V70" s="997"/>
      <c r="W70" s="997"/>
      <c r="X70" s="997"/>
      <c r="Y70" s="997"/>
      <c r="Z70" s="997"/>
      <c r="AA70" s="997"/>
      <c r="AB70" s="188"/>
      <c r="AC70" s="188"/>
      <c r="AD70" s="996">
        <f t="shared" si="14"/>
        <v>0</v>
      </c>
      <c r="AE70" s="997">
        <f t="shared" si="15"/>
        <v>0</v>
      </c>
      <c r="AF70" s="989">
        <f t="shared" si="24"/>
        <v>0</v>
      </c>
      <c r="AG70" s="989">
        <f t="shared" si="20"/>
        <v>1666.6666666666667</v>
      </c>
      <c r="AH70" s="996">
        <f t="shared" si="21"/>
        <v>2000</v>
      </c>
    </row>
    <row r="71" spans="1:34" x14ac:dyDescent="0.25">
      <c r="A71" s="638" t="s">
        <v>894</v>
      </c>
      <c r="B71" s="169"/>
      <c r="C71" s="40">
        <f>5000+10000</f>
        <v>15000</v>
      </c>
      <c r="D71" s="989">
        <f>-3000</f>
        <v>-3000</v>
      </c>
      <c r="E71" s="989"/>
      <c r="F71" s="989"/>
      <c r="G71" s="989"/>
      <c r="H71" s="989"/>
      <c r="I71" s="989">
        <f>-10000</f>
        <v>-10000</v>
      </c>
      <c r="J71" s="989"/>
      <c r="K71" s="989"/>
      <c r="L71" s="989"/>
      <c r="M71" s="989"/>
      <c r="N71" s="989">
        <f t="shared" si="26"/>
        <v>2000</v>
      </c>
      <c r="O71" s="989">
        <f t="shared" si="16"/>
        <v>1500</v>
      </c>
      <c r="P71" s="989">
        <f t="shared" si="23"/>
        <v>166.66666666666666</v>
      </c>
      <c r="Q71" s="40">
        <f t="shared" si="25"/>
        <v>1666.6666666666667</v>
      </c>
      <c r="R71" s="265"/>
      <c r="S71" s="265"/>
      <c r="T71" s="265"/>
      <c r="U71" s="265"/>
      <c r="V71" s="997"/>
      <c r="W71" s="997"/>
      <c r="X71" s="997"/>
      <c r="Y71" s="997"/>
      <c r="Z71" s="997"/>
      <c r="AA71" s="997"/>
      <c r="AB71" s="188"/>
      <c r="AC71" s="188"/>
      <c r="AD71" s="996">
        <f t="shared" si="14"/>
        <v>0</v>
      </c>
      <c r="AE71" s="997">
        <f t="shared" si="15"/>
        <v>0</v>
      </c>
      <c r="AF71" s="989">
        <f t="shared" si="24"/>
        <v>0</v>
      </c>
      <c r="AG71" s="989">
        <f t="shared" si="20"/>
        <v>1666.6666666666667</v>
      </c>
      <c r="AH71" s="996">
        <f t="shared" si="21"/>
        <v>2000</v>
      </c>
    </row>
    <row r="72" spans="1:34" x14ac:dyDescent="0.25">
      <c r="A72" s="638" t="s">
        <v>895</v>
      </c>
      <c r="B72" s="169"/>
      <c r="C72" s="40">
        <f>150450-35600</f>
        <v>114850</v>
      </c>
      <c r="D72" s="989">
        <v>50000</v>
      </c>
      <c r="E72" s="989"/>
      <c r="F72" s="989"/>
      <c r="G72" s="989"/>
      <c r="H72" s="989"/>
      <c r="I72" s="989">
        <f>40000</f>
        <v>40000</v>
      </c>
      <c r="J72" s="989"/>
      <c r="K72" s="989"/>
      <c r="L72" s="989"/>
      <c r="M72" s="989"/>
      <c r="N72" s="989">
        <f t="shared" si="26"/>
        <v>204850</v>
      </c>
      <c r="O72" s="989">
        <f t="shared" si="16"/>
        <v>153637.5</v>
      </c>
      <c r="P72" s="989">
        <f t="shared" si="23"/>
        <v>17070.833333333332</v>
      </c>
      <c r="Q72" s="40">
        <f t="shared" si="25"/>
        <v>170708.33333333334</v>
      </c>
      <c r="R72" s="265">
        <v>9781.2000000000007</v>
      </c>
      <c r="S72" s="265">
        <v>7000</v>
      </c>
      <c r="T72" s="265">
        <v>1350</v>
      </c>
      <c r="U72" s="265">
        <v>19000</v>
      </c>
      <c r="V72" s="997">
        <v>11050</v>
      </c>
      <c r="W72" s="997">
        <v>42400</v>
      </c>
      <c r="X72" s="997">
        <v>10380</v>
      </c>
      <c r="Y72" s="997">
        <v>1050</v>
      </c>
      <c r="Z72" s="997">
        <v>26130</v>
      </c>
      <c r="AA72" s="997">
        <v>18700</v>
      </c>
      <c r="AB72" s="188"/>
      <c r="AC72" s="188"/>
      <c r="AD72" s="996">
        <f t="shared" si="14"/>
        <v>128141.2</v>
      </c>
      <c r="AE72" s="997">
        <f t="shared" si="15"/>
        <v>18700</v>
      </c>
      <c r="AF72" s="989">
        <f t="shared" si="24"/>
        <v>146841.20000000001</v>
      </c>
      <c r="AG72" s="989">
        <f t="shared" si="20"/>
        <v>23867.133333333331</v>
      </c>
      <c r="AH72" s="996">
        <f t="shared" si="21"/>
        <v>58008.799999999988</v>
      </c>
    </row>
    <row r="73" spans="1:34" s="987" customFormat="1" x14ac:dyDescent="0.25">
      <c r="A73" s="518" t="s">
        <v>1393</v>
      </c>
      <c r="B73" s="735"/>
      <c r="C73" s="989"/>
      <c r="D73" s="989"/>
      <c r="E73" s="989">
        <v>180000</v>
      </c>
      <c r="F73" s="989"/>
      <c r="G73" s="989"/>
      <c r="H73" s="989"/>
      <c r="I73" s="989"/>
      <c r="J73" s="989"/>
      <c r="K73" s="989"/>
      <c r="L73" s="989"/>
      <c r="M73" s="989"/>
      <c r="N73" s="989">
        <f t="shared" si="26"/>
        <v>180000</v>
      </c>
      <c r="O73" s="989">
        <f t="shared" ref="O73" si="27">N73/12*9</f>
        <v>135000</v>
      </c>
      <c r="P73" s="989">
        <f t="shared" ref="P73" si="28">N73/12*1</f>
        <v>15000</v>
      </c>
      <c r="Q73" s="989">
        <f t="shared" si="25"/>
        <v>150000</v>
      </c>
      <c r="R73" s="997"/>
      <c r="S73" s="997"/>
      <c r="T73" s="997"/>
      <c r="U73" s="997"/>
      <c r="V73" s="997"/>
      <c r="W73" s="997"/>
      <c r="X73" s="997"/>
      <c r="Y73" s="997"/>
      <c r="Z73" s="997"/>
      <c r="AA73" s="997"/>
      <c r="AB73" s="937"/>
      <c r="AC73" s="937"/>
      <c r="AD73" s="996">
        <f t="shared" ref="AD73" si="29">R73+S73+T73+U73+V73+W73+X73+Y73+Z73</f>
        <v>0</v>
      </c>
      <c r="AE73" s="997">
        <f t="shared" ref="AE73" si="30">AA73</f>
        <v>0</v>
      </c>
      <c r="AF73" s="989">
        <f t="shared" ref="AF73" si="31">AD73+AE73</f>
        <v>0</v>
      </c>
      <c r="AG73" s="989">
        <f t="shared" ref="AG73" si="32">Q73-AF73</f>
        <v>150000</v>
      </c>
      <c r="AH73" s="996">
        <f t="shared" ref="AH73" si="33">N73-AF73</f>
        <v>180000</v>
      </c>
    </row>
    <row r="74" spans="1:34" x14ac:dyDescent="0.25">
      <c r="A74" s="518" t="s">
        <v>748</v>
      </c>
      <c r="B74" s="169" t="s">
        <v>79</v>
      </c>
      <c r="C74" s="40"/>
      <c r="D74" s="989"/>
      <c r="E74" s="989"/>
      <c r="F74" s="989"/>
      <c r="G74" s="989"/>
      <c r="H74" s="989"/>
      <c r="I74" s="989"/>
      <c r="J74" s="989"/>
      <c r="K74" s="989"/>
      <c r="L74" s="989"/>
      <c r="M74" s="989"/>
      <c r="N74" s="989">
        <f t="shared" si="26"/>
        <v>0</v>
      </c>
      <c r="O74" s="989">
        <f t="shared" si="16"/>
        <v>0</v>
      </c>
      <c r="P74" s="989">
        <f t="shared" si="23"/>
        <v>0</v>
      </c>
      <c r="Q74" s="40">
        <f t="shared" si="25"/>
        <v>0</v>
      </c>
      <c r="R74" s="265"/>
      <c r="S74" s="265"/>
      <c r="T74" s="265"/>
      <c r="U74" s="265"/>
      <c r="V74" s="997"/>
      <c r="W74" s="997"/>
      <c r="X74" s="997"/>
      <c r="Y74" s="997"/>
      <c r="Z74" s="997"/>
      <c r="AA74" s="997"/>
      <c r="AB74" s="188"/>
      <c r="AC74" s="188"/>
      <c r="AD74" s="996">
        <f t="shared" si="14"/>
        <v>0</v>
      </c>
      <c r="AE74" s="997">
        <f t="shared" si="15"/>
        <v>0</v>
      </c>
      <c r="AF74" s="989">
        <f t="shared" si="24"/>
        <v>0</v>
      </c>
      <c r="AG74" s="989">
        <f t="shared" si="20"/>
        <v>0</v>
      </c>
      <c r="AH74" s="996">
        <f t="shared" si="21"/>
        <v>0</v>
      </c>
    </row>
    <row r="75" spans="1:34" x14ac:dyDescent="0.25">
      <c r="A75" s="638" t="s">
        <v>687</v>
      </c>
      <c r="B75" s="169"/>
      <c r="C75" s="40">
        <v>15000</v>
      </c>
      <c r="D75" s="989"/>
      <c r="E75" s="989"/>
      <c r="F75" s="989"/>
      <c r="G75" s="989"/>
      <c r="H75" s="989"/>
      <c r="I75" s="989"/>
      <c r="J75" s="989"/>
      <c r="K75" s="989"/>
      <c r="L75" s="989"/>
      <c r="M75" s="989"/>
      <c r="N75" s="989">
        <f t="shared" si="26"/>
        <v>15000</v>
      </c>
      <c r="O75" s="989">
        <f t="shared" si="16"/>
        <v>11250</v>
      </c>
      <c r="P75" s="989">
        <f t="shared" si="23"/>
        <v>1250</v>
      </c>
      <c r="Q75" s="40">
        <f t="shared" si="25"/>
        <v>12500</v>
      </c>
      <c r="R75" s="265"/>
      <c r="S75" s="265"/>
      <c r="T75" s="265"/>
      <c r="U75" s="265"/>
      <c r="V75" s="997"/>
      <c r="W75" s="997"/>
      <c r="X75" s="997">
        <v>3430</v>
      </c>
      <c r="Y75" s="997">
        <v>2990</v>
      </c>
      <c r="Z75" s="997"/>
      <c r="AA75" s="997"/>
      <c r="AB75" s="188"/>
      <c r="AC75" s="188"/>
      <c r="AD75" s="996">
        <f t="shared" si="14"/>
        <v>6420</v>
      </c>
      <c r="AE75" s="997">
        <f t="shared" si="15"/>
        <v>0</v>
      </c>
      <c r="AF75" s="989">
        <f t="shared" si="24"/>
        <v>6420</v>
      </c>
      <c r="AG75" s="989">
        <f t="shared" si="20"/>
        <v>6080</v>
      </c>
      <c r="AH75" s="996">
        <f t="shared" si="21"/>
        <v>8580</v>
      </c>
    </row>
    <row r="76" spans="1:34" x14ac:dyDescent="0.25">
      <c r="A76" s="201" t="s">
        <v>740</v>
      </c>
      <c r="B76" s="169" t="s">
        <v>81</v>
      </c>
      <c r="C76" s="40">
        <v>7000</v>
      </c>
      <c r="D76" s="989"/>
      <c r="E76" s="989"/>
      <c r="F76" s="989"/>
      <c r="G76" s="989"/>
      <c r="H76" s="989"/>
      <c r="I76" s="989"/>
      <c r="J76" s="989"/>
      <c r="K76" s="989"/>
      <c r="L76" s="989"/>
      <c r="M76" s="989">
        <v>5000</v>
      </c>
      <c r="N76" s="989">
        <f t="shared" si="26"/>
        <v>12000</v>
      </c>
      <c r="O76" s="989">
        <f t="shared" si="16"/>
        <v>9000</v>
      </c>
      <c r="P76" s="989">
        <f t="shared" si="23"/>
        <v>1000</v>
      </c>
      <c r="Q76" s="40">
        <f t="shared" si="25"/>
        <v>10000</v>
      </c>
      <c r="R76" s="265"/>
      <c r="S76" s="265"/>
      <c r="T76" s="265"/>
      <c r="U76" s="265"/>
      <c r="V76" s="997"/>
      <c r="W76" s="997"/>
      <c r="X76" s="997"/>
      <c r="Y76" s="997"/>
      <c r="Z76" s="997"/>
      <c r="AA76" s="997"/>
      <c r="AB76" s="188"/>
      <c r="AC76" s="188"/>
      <c r="AD76" s="996">
        <f t="shared" si="14"/>
        <v>0</v>
      </c>
      <c r="AE76" s="997">
        <f t="shared" si="15"/>
        <v>0</v>
      </c>
      <c r="AF76" s="989">
        <f t="shared" si="24"/>
        <v>0</v>
      </c>
      <c r="AG76" s="989">
        <f t="shared" si="20"/>
        <v>10000</v>
      </c>
      <c r="AH76" s="996">
        <f t="shared" si="21"/>
        <v>12000</v>
      </c>
    </row>
    <row r="77" spans="1:34" x14ac:dyDescent="0.25">
      <c r="A77" s="201" t="s">
        <v>257</v>
      </c>
      <c r="B77" s="169" t="s">
        <v>83</v>
      </c>
      <c r="C77" s="40">
        <f>15000-7000</f>
        <v>8000</v>
      </c>
      <c r="D77" s="989">
        <f>-2000</f>
        <v>-2000</v>
      </c>
      <c r="E77" s="989"/>
      <c r="F77" s="989"/>
      <c r="G77" s="989"/>
      <c r="H77" s="989"/>
      <c r="I77" s="989"/>
      <c r="J77" s="989"/>
      <c r="K77" s="989"/>
      <c r="L77" s="989"/>
      <c r="M77" s="989"/>
      <c r="N77" s="989">
        <f t="shared" si="26"/>
        <v>6000</v>
      </c>
      <c r="O77" s="989">
        <f t="shared" si="16"/>
        <v>4500</v>
      </c>
      <c r="P77" s="989">
        <f t="shared" si="23"/>
        <v>500</v>
      </c>
      <c r="Q77" s="40">
        <f t="shared" si="25"/>
        <v>5000</v>
      </c>
      <c r="R77" s="265"/>
      <c r="S77" s="265"/>
      <c r="T77" s="265"/>
      <c r="U77" s="265">
        <v>1073.05</v>
      </c>
      <c r="V77" s="997"/>
      <c r="W77" s="997"/>
      <c r="X77" s="997"/>
      <c r="Y77" s="997">
        <v>4678.12</v>
      </c>
      <c r="Z77" s="997"/>
      <c r="AA77" s="997"/>
      <c r="AB77" s="188"/>
      <c r="AC77" s="188"/>
      <c r="AD77" s="996">
        <f t="shared" si="14"/>
        <v>5751.17</v>
      </c>
      <c r="AE77" s="997">
        <f t="shared" si="15"/>
        <v>0</v>
      </c>
      <c r="AF77" s="989">
        <f t="shared" si="24"/>
        <v>5751.17</v>
      </c>
      <c r="AG77" s="989">
        <f t="shared" si="20"/>
        <v>-751.17000000000007</v>
      </c>
      <c r="AH77" s="996">
        <f t="shared" si="21"/>
        <v>248.82999999999993</v>
      </c>
    </row>
    <row r="78" spans="1:34" x14ac:dyDescent="0.25">
      <c r="A78" s="201" t="s">
        <v>586</v>
      </c>
      <c r="B78" s="50" t="s">
        <v>93</v>
      </c>
      <c r="C78" s="40">
        <v>15000</v>
      </c>
      <c r="D78" s="989">
        <v>3000</v>
      </c>
      <c r="E78" s="989"/>
      <c r="F78" s="989"/>
      <c r="G78" s="989"/>
      <c r="H78" s="989"/>
      <c r="I78" s="989"/>
      <c r="J78" s="989"/>
      <c r="K78" s="989"/>
      <c r="L78" s="989"/>
      <c r="M78" s="989"/>
      <c r="N78" s="989">
        <f t="shared" si="26"/>
        <v>18000</v>
      </c>
      <c r="O78" s="989">
        <f t="shared" si="16"/>
        <v>13500</v>
      </c>
      <c r="P78" s="989">
        <f t="shared" si="23"/>
        <v>1500</v>
      </c>
      <c r="Q78" s="40">
        <f t="shared" si="25"/>
        <v>15000</v>
      </c>
      <c r="R78" s="265"/>
      <c r="S78" s="265"/>
      <c r="T78" s="265">
        <v>3205</v>
      </c>
      <c r="U78" s="265">
        <v>3480</v>
      </c>
      <c r="V78" s="997">
        <v>5230</v>
      </c>
      <c r="W78" s="997"/>
      <c r="X78" s="997"/>
      <c r="Y78" s="997"/>
      <c r="Z78" s="997">
        <v>375</v>
      </c>
      <c r="AA78" s="997"/>
      <c r="AB78" s="188"/>
      <c r="AC78" s="188"/>
      <c r="AD78" s="996">
        <f t="shared" si="14"/>
        <v>12290</v>
      </c>
      <c r="AE78" s="997">
        <f t="shared" si="15"/>
        <v>0</v>
      </c>
      <c r="AF78" s="989">
        <f t="shared" si="24"/>
        <v>12290</v>
      </c>
      <c r="AG78" s="989">
        <f t="shared" si="20"/>
        <v>2710</v>
      </c>
      <c r="AH78" s="996">
        <f t="shared" si="21"/>
        <v>5710</v>
      </c>
    </row>
    <row r="79" spans="1:34" x14ac:dyDescent="0.25">
      <c r="A79" s="641" t="s">
        <v>274</v>
      </c>
      <c r="B79" s="50" t="s">
        <v>104</v>
      </c>
      <c r="C79" s="40"/>
      <c r="D79" s="989"/>
      <c r="E79" s="989"/>
      <c r="F79" s="989"/>
      <c r="G79" s="989"/>
      <c r="H79" s="989"/>
      <c r="I79" s="989"/>
      <c r="J79" s="989"/>
      <c r="K79" s="989"/>
      <c r="L79" s="989"/>
      <c r="M79" s="989"/>
      <c r="N79" s="989">
        <f t="shared" si="26"/>
        <v>0</v>
      </c>
      <c r="O79" s="989">
        <f t="shared" si="16"/>
        <v>0</v>
      </c>
      <c r="P79" s="989">
        <f t="shared" si="23"/>
        <v>0</v>
      </c>
      <c r="Q79" s="40">
        <f t="shared" si="25"/>
        <v>0</v>
      </c>
      <c r="R79" s="265"/>
      <c r="S79" s="265"/>
      <c r="T79" s="265"/>
      <c r="U79" s="265"/>
      <c r="V79" s="997"/>
      <c r="W79" s="997"/>
      <c r="X79" s="997"/>
      <c r="Y79" s="997"/>
      <c r="Z79" s="997"/>
      <c r="AA79" s="997"/>
      <c r="AB79" s="188"/>
      <c r="AC79" s="188"/>
      <c r="AD79" s="996">
        <f t="shared" si="14"/>
        <v>0</v>
      </c>
      <c r="AE79" s="997">
        <f t="shared" si="15"/>
        <v>0</v>
      </c>
      <c r="AF79" s="989">
        <f t="shared" si="24"/>
        <v>0</v>
      </c>
      <c r="AG79" s="989">
        <f t="shared" si="20"/>
        <v>0</v>
      </c>
      <c r="AH79" s="996">
        <f t="shared" si="21"/>
        <v>0</v>
      </c>
    </row>
    <row r="80" spans="1:34" ht="16.5" x14ac:dyDescent="0.3">
      <c r="A80" s="235" t="s">
        <v>896</v>
      </c>
      <c r="B80" s="643"/>
      <c r="C80" s="40">
        <f>23000+1000</f>
        <v>24000</v>
      </c>
      <c r="D80" s="989"/>
      <c r="E80" s="989"/>
      <c r="F80" s="989"/>
      <c r="G80" s="989"/>
      <c r="H80" s="989"/>
      <c r="I80" s="989">
        <f>-18000</f>
        <v>-18000</v>
      </c>
      <c r="J80" s="989"/>
      <c r="K80" s="989"/>
      <c r="L80" s="989"/>
      <c r="M80" s="989"/>
      <c r="N80" s="989">
        <f t="shared" si="26"/>
        <v>6000</v>
      </c>
      <c r="O80" s="989">
        <f t="shared" si="16"/>
        <v>4500</v>
      </c>
      <c r="P80" s="989">
        <f t="shared" si="23"/>
        <v>500</v>
      </c>
      <c r="Q80" s="40">
        <f t="shared" si="25"/>
        <v>5000</v>
      </c>
      <c r="R80" s="265"/>
      <c r="S80" s="265"/>
      <c r="T80" s="265"/>
      <c r="U80" s="265"/>
      <c r="V80" s="997"/>
      <c r="W80" s="997"/>
      <c r="X80" s="997"/>
      <c r="Y80" s="997"/>
      <c r="Z80" s="997"/>
      <c r="AA80" s="997"/>
      <c r="AB80" s="188"/>
      <c r="AC80" s="188"/>
      <c r="AD80" s="996">
        <f t="shared" si="14"/>
        <v>0</v>
      </c>
      <c r="AE80" s="997">
        <f t="shared" si="15"/>
        <v>0</v>
      </c>
      <c r="AF80" s="989">
        <f t="shared" si="24"/>
        <v>0</v>
      </c>
      <c r="AG80" s="989">
        <f t="shared" si="20"/>
        <v>5000</v>
      </c>
      <c r="AH80" s="996">
        <f t="shared" si="21"/>
        <v>6000</v>
      </c>
    </row>
    <row r="81" spans="1:34" ht="16.5" x14ac:dyDescent="0.3">
      <c r="A81" s="235" t="s">
        <v>897</v>
      </c>
      <c r="B81" s="643"/>
      <c r="C81" s="40">
        <f>25000-1000</f>
        <v>24000</v>
      </c>
      <c r="D81" s="989"/>
      <c r="E81" s="989"/>
      <c r="F81" s="989"/>
      <c r="G81" s="989"/>
      <c r="H81" s="989"/>
      <c r="I81" s="989">
        <f>-18000</f>
        <v>-18000</v>
      </c>
      <c r="J81" s="989"/>
      <c r="K81" s="989"/>
      <c r="L81" s="989"/>
      <c r="M81" s="989"/>
      <c r="N81" s="989">
        <f t="shared" si="26"/>
        <v>6000</v>
      </c>
      <c r="O81" s="989">
        <f t="shared" si="16"/>
        <v>4500</v>
      </c>
      <c r="P81" s="989">
        <f t="shared" si="23"/>
        <v>500</v>
      </c>
      <c r="Q81" s="40">
        <f t="shared" si="25"/>
        <v>5000</v>
      </c>
      <c r="R81" s="265"/>
      <c r="S81" s="265"/>
      <c r="T81" s="265"/>
      <c r="U81" s="265"/>
      <c r="V81" s="997"/>
      <c r="W81" s="997"/>
      <c r="X81" s="997"/>
      <c r="Y81" s="997"/>
      <c r="Z81" s="997"/>
      <c r="AA81" s="997"/>
      <c r="AB81" s="188"/>
      <c r="AC81" s="188"/>
      <c r="AD81" s="996">
        <f t="shared" si="14"/>
        <v>0</v>
      </c>
      <c r="AE81" s="997">
        <f t="shared" si="15"/>
        <v>0</v>
      </c>
      <c r="AF81" s="989">
        <f t="shared" si="24"/>
        <v>0</v>
      </c>
      <c r="AG81" s="989">
        <f t="shared" si="20"/>
        <v>5000</v>
      </c>
      <c r="AH81" s="996">
        <f t="shared" si="21"/>
        <v>6000</v>
      </c>
    </row>
    <row r="82" spans="1:34" x14ac:dyDescent="0.25">
      <c r="A82" s="236"/>
      <c r="B82" s="87"/>
      <c r="C82" s="40"/>
      <c r="D82" s="989"/>
      <c r="E82" s="989"/>
      <c r="F82" s="989"/>
      <c r="G82" s="989"/>
      <c r="H82" s="989"/>
      <c r="I82" s="989"/>
      <c r="J82" s="989"/>
      <c r="K82" s="989"/>
      <c r="L82" s="989"/>
      <c r="M82" s="989"/>
      <c r="N82" s="989">
        <f t="shared" si="26"/>
        <v>0</v>
      </c>
      <c r="O82" s="989">
        <f t="shared" si="16"/>
        <v>0</v>
      </c>
      <c r="P82" s="989">
        <f t="shared" si="23"/>
        <v>0</v>
      </c>
      <c r="Q82" s="40"/>
      <c r="R82" s="265"/>
      <c r="S82" s="265"/>
      <c r="T82" s="265"/>
      <c r="U82" s="265"/>
      <c r="V82" s="997"/>
      <c r="W82" s="997"/>
      <c r="X82" s="997"/>
      <c r="Y82" s="997"/>
      <c r="Z82" s="997"/>
      <c r="AA82" s="997"/>
      <c r="AB82" s="188"/>
      <c r="AC82" s="188"/>
      <c r="AD82" s="996">
        <f t="shared" si="14"/>
        <v>0</v>
      </c>
      <c r="AE82" s="997">
        <f t="shared" si="15"/>
        <v>0</v>
      </c>
      <c r="AF82" s="989">
        <f t="shared" si="24"/>
        <v>0</v>
      </c>
      <c r="AG82" s="989">
        <f t="shared" si="20"/>
        <v>0</v>
      </c>
      <c r="AH82" s="996">
        <f t="shared" si="21"/>
        <v>0</v>
      </c>
    </row>
    <row r="83" spans="1:34" x14ac:dyDescent="0.25">
      <c r="A83" s="184" t="s">
        <v>108</v>
      </c>
      <c r="B83" s="234"/>
      <c r="C83" s="109">
        <f t="shared" ref="C83:AH83" si="34">SUM(C32:C82)</f>
        <v>2898650</v>
      </c>
      <c r="D83" s="990">
        <f t="shared" si="34"/>
        <v>0</v>
      </c>
      <c r="E83" s="990">
        <f t="shared" si="34"/>
        <v>180000</v>
      </c>
      <c r="F83" s="990">
        <f t="shared" si="34"/>
        <v>0</v>
      </c>
      <c r="G83" s="990">
        <f t="shared" si="34"/>
        <v>0</v>
      </c>
      <c r="H83" s="990">
        <f t="shared" si="34"/>
        <v>0</v>
      </c>
      <c r="I83" s="990">
        <f t="shared" si="34"/>
        <v>0</v>
      </c>
      <c r="J83" s="990">
        <f t="shared" si="34"/>
        <v>0</v>
      </c>
      <c r="K83" s="990">
        <f t="shared" si="34"/>
        <v>5060</v>
      </c>
      <c r="L83" s="990">
        <f t="shared" si="34"/>
        <v>0</v>
      </c>
      <c r="M83" s="990">
        <f t="shared" si="34"/>
        <v>505000</v>
      </c>
      <c r="N83" s="109">
        <f t="shared" si="34"/>
        <v>3588710</v>
      </c>
      <c r="O83" s="109">
        <f t="shared" si="34"/>
        <v>2691532.5</v>
      </c>
      <c r="P83" s="109">
        <f t="shared" si="34"/>
        <v>299059.16666666663</v>
      </c>
      <c r="Q83" s="109">
        <f t="shared" si="34"/>
        <v>2947258.3333333335</v>
      </c>
      <c r="R83" s="109">
        <f t="shared" si="34"/>
        <v>118810.23</v>
      </c>
      <c r="S83" s="109">
        <f t="shared" si="34"/>
        <v>159070.53</v>
      </c>
      <c r="T83" s="109">
        <f t="shared" si="34"/>
        <v>231116.36</v>
      </c>
      <c r="U83" s="109">
        <f t="shared" si="34"/>
        <v>231925.37</v>
      </c>
      <c r="V83" s="990">
        <f t="shared" si="34"/>
        <v>221616.95</v>
      </c>
      <c r="W83" s="990">
        <f t="shared" si="34"/>
        <v>275597.33</v>
      </c>
      <c r="X83" s="990">
        <f t="shared" si="34"/>
        <v>203212.84</v>
      </c>
      <c r="Y83" s="990">
        <f t="shared" si="34"/>
        <v>270759.71000000002</v>
      </c>
      <c r="Z83" s="990">
        <f t="shared" si="34"/>
        <v>284709.93</v>
      </c>
      <c r="AA83" s="990">
        <f t="shared" si="34"/>
        <v>194054.77</v>
      </c>
      <c r="AB83" s="109">
        <f t="shared" si="34"/>
        <v>0</v>
      </c>
      <c r="AC83" s="109">
        <f t="shared" si="34"/>
        <v>0</v>
      </c>
      <c r="AD83" s="109">
        <f t="shared" si="34"/>
        <v>1996819.25</v>
      </c>
      <c r="AE83" s="109">
        <f t="shared" si="34"/>
        <v>194054.77</v>
      </c>
      <c r="AF83" s="109">
        <f t="shared" si="34"/>
        <v>2190874.02</v>
      </c>
      <c r="AG83" s="109">
        <f t="shared" si="34"/>
        <v>756384.31333333312</v>
      </c>
      <c r="AH83" s="109">
        <f t="shared" si="34"/>
        <v>1397835.98</v>
      </c>
    </row>
    <row r="84" spans="1:34" x14ac:dyDescent="0.25">
      <c r="A84" s="184" t="s">
        <v>230</v>
      </c>
      <c r="B84" s="234"/>
      <c r="C84" s="40"/>
      <c r="D84" s="989"/>
      <c r="E84" s="989"/>
      <c r="F84" s="989"/>
      <c r="G84" s="989"/>
      <c r="H84" s="989"/>
      <c r="I84" s="989"/>
      <c r="J84" s="989"/>
      <c r="K84" s="989"/>
      <c r="L84" s="989"/>
      <c r="M84" s="989"/>
      <c r="N84" s="40"/>
      <c r="O84" s="40"/>
      <c r="P84" s="40"/>
      <c r="Q84" s="188"/>
      <c r="R84" s="265"/>
      <c r="S84" s="265"/>
      <c r="T84" s="265"/>
      <c r="U84" s="265"/>
      <c r="V84" s="997"/>
      <c r="W84" s="997"/>
      <c r="X84" s="997"/>
      <c r="Y84" s="997"/>
      <c r="Z84" s="997"/>
      <c r="AA84" s="997"/>
      <c r="AB84" s="188"/>
      <c r="AC84" s="188"/>
      <c r="AD84" s="188"/>
      <c r="AE84" s="188"/>
      <c r="AF84" s="188"/>
      <c r="AG84" s="188"/>
      <c r="AH84" s="188"/>
    </row>
    <row r="85" spans="1:34" x14ac:dyDescent="0.25">
      <c r="A85" s="184" t="s">
        <v>338</v>
      </c>
      <c r="B85" s="234"/>
      <c r="C85" s="40"/>
      <c r="D85" s="989"/>
      <c r="E85" s="989"/>
      <c r="F85" s="989"/>
      <c r="G85" s="989"/>
      <c r="H85" s="989"/>
      <c r="I85" s="989"/>
      <c r="J85" s="989"/>
      <c r="K85" s="989"/>
      <c r="L85" s="989"/>
      <c r="M85" s="989"/>
      <c r="N85" s="40"/>
      <c r="O85" s="40"/>
      <c r="P85" s="40"/>
      <c r="Q85" s="188"/>
      <c r="R85" s="265"/>
      <c r="S85" s="265"/>
      <c r="T85" s="265"/>
      <c r="U85" s="265"/>
      <c r="V85" s="997"/>
      <c r="W85" s="997"/>
      <c r="X85" s="997"/>
      <c r="Y85" s="997"/>
      <c r="Z85" s="997"/>
      <c r="AA85" s="997"/>
      <c r="AB85" s="188"/>
      <c r="AC85" s="188"/>
      <c r="AD85" s="996">
        <f t="shared" ref="AD85:AD92" si="35">R85+S85+T85+U85+V85+W85+X85+Y85+Z85</f>
        <v>0</v>
      </c>
      <c r="AE85" s="997">
        <f t="shared" ref="AE85:AE92" si="36">AA85</f>
        <v>0</v>
      </c>
      <c r="AF85" s="188"/>
      <c r="AG85" s="188"/>
      <c r="AH85" s="188"/>
    </row>
    <row r="86" spans="1:34" x14ac:dyDescent="0.25">
      <c r="A86" s="942" t="s">
        <v>1120</v>
      </c>
      <c r="B86" s="938" t="s">
        <v>111</v>
      </c>
      <c r="C86" s="40"/>
      <c r="D86" s="989"/>
      <c r="E86" s="989"/>
      <c r="F86" s="989"/>
      <c r="G86" s="989"/>
      <c r="H86" s="989"/>
      <c r="I86" s="989"/>
      <c r="J86" s="989"/>
      <c r="K86" s="989"/>
      <c r="L86" s="989"/>
      <c r="M86" s="989"/>
      <c r="N86" s="989">
        <f t="shared" ref="N86:N102" si="37">SUM(C86:M86)</f>
        <v>0</v>
      </c>
      <c r="O86" s="40">
        <f>N86</f>
        <v>0</v>
      </c>
      <c r="P86" s="40">
        <f>N86</f>
        <v>0</v>
      </c>
      <c r="Q86" s="40">
        <f>N86</f>
        <v>0</v>
      </c>
      <c r="R86" s="265"/>
      <c r="S86" s="265"/>
      <c r="T86" s="265"/>
      <c r="U86" s="265"/>
      <c r="V86" s="997"/>
      <c r="W86" s="997"/>
      <c r="X86" s="997"/>
      <c r="Y86" s="997"/>
      <c r="Z86" s="997"/>
      <c r="AA86" s="997"/>
      <c r="AB86" s="188"/>
      <c r="AC86" s="188"/>
      <c r="AD86" s="996">
        <f t="shared" si="35"/>
        <v>0</v>
      </c>
      <c r="AE86" s="997">
        <f t="shared" si="36"/>
        <v>0</v>
      </c>
      <c r="AF86" s="109">
        <f>AD86+AE86</f>
        <v>0</v>
      </c>
      <c r="AG86" s="989">
        <f t="shared" ref="AG86:AG92" si="38">Q86-AF86</f>
        <v>0</v>
      </c>
      <c r="AH86" s="996">
        <f t="shared" ref="AH86:AH92" si="39">N86-AF86</f>
        <v>0</v>
      </c>
    </row>
    <row r="87" spans="1:34" x14ac:dyDescent="0.25">
      <c r="A87" s="939" t="s">
        <v>1138</v>
      </c>
      <c r="B87" s="938"/>
      <c r="C87" s="40">
        <v>5</v>
      </c>
      <c r="D87" s="989"/>
      <c r="E87" s="989"/>
      <c r="F87" s="989"/>
      <c r="G87" s="989"/>
      <c r="H87" s="989"/>
      <c r="I87" s="989"/>
      <c r="J87" s="989">
        <f>-5</f>
        <v>-5</v>
      </c>
      <c r="K87" s="989"/>
      <c r="L87" s="989"/>
      <c r="M87" s="989"/>
      <c r="N87" s="989">
        <f t="shared" si="37"/>
        <v>0</v>
      </c>
      <c r="O87" s="989">
        <f t="shared" ref="O87:O92" si="40">N87</f>
        <v>0</v>
      </c>
      <c r="P87" s="989">
        <f t="shared" ref="P87:P102" si="41">N87</f>
        <v>0</v>
      </c>
      <c r="Q87" s="989">
        <f t="shared" ref="Q87:Q102" si="42">N87</f>
        <v>0</v>
      </c>
      <c r="R87" s="265"/>
      <c r="S87" s="265"/>
      <c r="T87" s="265"/>
      <c r="U87" s="265"/>
      <c r="V87" s="997"/>
      <c r="W87" s="997"/>
      <c r="X87" s="997"/>
      <c r="Y87" s="997"/>
      <c r="Z87" s="997"/>
      <c r="AA87" s="997"/>
      <c r="AB87" s="188"/>
      <c r="AC87" s="188"/>
      <c r="AD87" s="996">
        <f t="shared" si="35"/>
        <v>0</v>
      </c>
      <c r="AE87" s="997">
        <f t="shared" si="36"/>
        <v>0</v>
      </c>
      <c r="AF87" s="990">
        <f t="shared" ref="AF87:AF92" si="43">AD87+AE87</f>
        <v>0</v>
      </c>
      <c r="AG87" s="989">
        <f t="shared" si="38"/>
        <v>0</v>
      </c>
      <c r="AH87" s="996">
        <f t="shared" si="39"/>
        <v>0</v>
      </c>
    </row>
    <row r="88" spans="1:34" x14ac:dyDescent="0.25">
      <c r="A88" s="939" t="s">
        <v>1139</v>
      </c>
      <c r="B88" s="938"/>
      <c r="C88" s="40">
        <v>3000</v>
      </c>
      <c r="D88" s="989"/>
      <c r="E88" s="989"/>
      <c r="F88" s="989"/>
      <c r="G88" s="989"/>
      <c r="H88" s="989"/>
      <c r="I88" s="989"/>
      <c r="J88" s="989">
        <f>-3000</f>
        <v>-3000</v>
      </c>
      <c r="K88" s="989"/>
      <c r="L88" s="989"/>
      <c r="M88" s="989"/>
      <c r="N88" s="989">
        <f t="shared" si="37"/>
        <v>0</v>
      </c>
      <c r="O88" s="989">
        <f t="shared" si="40"/>
        <v>0</v>
      </c>
      <c r="P88" s="989">
        <f t="shared" si="41"/>
        <v>0</v>
      </c>
      <c r="Q88" s="989">
        <f t="shared" si="42"/>
        <v>0</v>
      </c>
      <c r="R88" s="265"/>
      <c r="S88" s="265"/>
      <c r="T88" s="265"/>
      <c r="U88" s="265"/>
      <c r="V88" s="997"/>
      <c r="W88" s="997"/>
      <c r="X88" s="997"/>
      <c r="Y88" s="997"/>
      <c r="Z88" s="997"/>
      <c r="AA88" s="997"/>
      <c r="AB88" s="188"/>
      <c r="AC88" s="188"/>
      <c r="AD88" s="996">
        <f t="shared" si="35"/>
        <v>0</v>
      </c>
      <c r="AE88" s="997">
        <f t="shared" si="36"/>
        <v>0</v>
      </c>
      <c r="AF88" s="990">
        <f t="shared" si="43"/>
        <v>0</v>
      </c>
      <c r="AG88" s="989">
        <f t="shared" si="38"/>
        <v>0</v>
      </c>
      <c r="AH88" s="996">
        <f t="shared" si="39"/>
        <v>0</v>
      </c>
    </row>
    <row r="89" spans="1:34" s="712" customFormat="1" x14ac:dyDescent="0.25">
      <c r="A89" s="942" t="s">
        <v>1140</v>
      </c>
      <c r="B89" s="938" t="s">
        <v>113</v>
      </c>
      <c r="C89" s="716"/>
      <c r="D89" s="989"/>
      <c r="E89" s="989"/>
      <c r="F89" s="989"/>
      <c r="G89" s="989"/>
      <c r="H89" s="989"/>
      <c r="I89" s="989"/>
      <c r="J89" s="989"/>
      <c r="K89" s="989"/>
      <c r="L89" s="989"/>
      <c r="M89" s="989"/>
      <c r="N89" s="989">
        <f t="shared" si="37"/>
        <v>0</v>
      </c>
      <c r="O89" s="989">
        <f t="shared" si="40"/>
        <v>0</v>
      </c>
      <c r="P89" s="989">
        <f t="shared" si="41"/>
        <v>0</v>
      </c>
      <c r="Q89" s="989">
        <f t="shared" si="42"/>
        <v>0</v>
      </c>
      <c r="R89" s="695"/>
      <c r="S89" s="695"/>
      <c r="T89" s="695"/>
      <c r="U89" s="695"/>
      <c r="V89" s="997"/>
      <c r="W89" s="997"/>
      <c r="X89" s="997"/>
      <c r="Y89" s="997"/>
      <c r="Z89" s="997"/>
      <c r="AA89" s="997"/>
      <c r="AB89" s="937"/>
      <c r="AC89" s="937"/>
      <c r="AD89" s="996">
        <f t="shared" si="35"/>
        <v>0</v>
      </c>
      <c r="AE89" s="997">
        <f t="shared" si="36"/>
        <v>0</v>
      </c>
      <c r="AF89" s="990">
        <f t="shared" si="43"/>
        <v>0</v>
      </c>
      <c r="AG89" s="989">
        <f t="shared" si="38"/>
        <v>0</v>
      </c>
      <c r="AH89" s="996">
        <f t="shared" si="39"/>
        <v>0</v>
      </c>
    </row>
    <row r="90" spans="1:34" s="712" customFormat="1" x14ac:dyDescent="0.25">
      <c r="A90" s="940" t="s">
        <v>1141</v>
      </c>
      <c r="B90" s="938"/>
      <c r="C90" s="716">
        <v>10</v>
      </c>
      <c r="D90" s="989"/>
      <c r="E90" s="989"/>
      <c r="F90" s="989"/>
      <c r="G90" s="989"/>
      <c r="H90" s="989"/>
      <c r="I90" s="989"/>
      <c r="J90" s="989">
        <f>-10</f>
        <v>-10</v>
      </c>
      <c r="K90" s="989"/>
      <c r="L90" s="989"/>
      <c r="M90" s="989"/>
      <c r="N90" s="989">
        <f t="shared" si="37"/>
        <v>0</v>
      </c>
      <c r="O90" s="989">
        <f t="shared" si="40"/>
        <v>0</v>
      </c>
      <c r="P90" s="989">
        <f t="shared" si="41"/>
        <v>0</v>
      </c>
      <c r="Q90" s="989">
        <f t="shared" si="42"/>
        <v>0</v>
      </c>
      <c r="R90" s="695"/>
      <c r="S90" s="695"/>
      <c r="T90" s="695"/>
      <c r="U90" s="695"/>
      <c r="V90" s="997"/>
      <c r="W90" s="997"/>
      <c r="X90" s="997"/>
      <c r="Y90" s="997"/>
      <c r="Z90" s="997"/>
      <c r="AA90" s="997"/>
      <c r="AB90" s="937"/>
      <c r="AC90" s="937"/>
      <c r="AD90" s="996">
        <f t="shared" si="35"/>
        <v>0</v>
      </c>
      <c r="AE90" s="997">
        <f t="shared" si="36"/>
        <v>0</v>
      </c>
      <c r="AF90" s="990">
        <f t="shared" si="43"/>
        <v>0</v>
      </c>
      <c r="AG90" s="989">
        <f t="shared" si="38"/>
        <v>0</v>
      </c>
      <c r="AH90" s="996">
        <f t="shared" si="39"/>
        <v>0</v>
      </c>
    </row>
    <row r="91" spans="1:34" s="712" customFormat="1" x14ac:dyDescent="0.25">
      <c r="A91" s="943" t="s">
        <v>1142</v>
      </c>
      <c r="B91" s="938" t="s">
        <v>116</v>
      </c>
      <c r="C91" s="716"/>
      <c r="D91" s="989"/>
      <c r="E91" s="989"/>
      <c r="F91" s="989"/>
      <c r="G91" s="989"/>
      <c r="H91" s="989"/>
      <c r="I91" s="989"/>
      <c r="J91" s="989"/>
      <c r="K91" s="989"/>
      <c r="L91" s="989"/>
      <c r="M91" s="989"/>
      <c r="N91" s="989">
        <f t="shared" si="37"/>
        <v>0</v>
      </c>
      <c r="O91" s="989">
        <f t="shared" si="40"/>
        <v>0</v>
      </c>
      <c r="P91" s="989">
        <f t="shared" si="41"/>
        <v>0</v>
      </c>
      <c r="Q91" s="989">
        <f t="shared" si="42"/>
        <v>0</v>
      </c>
      <c r="R91" s="695"/>
      <c r="S91" s="695"/>
      <c r="T91" s="695"/>
      <c r="U91" s="695"/>
      <c r="V91" s="997"/>
      <c r="W91" s="997"/>
      <c r="X91" s="997"/>
      <c r="Y91" s="997"/>
      <c r="Z91" s="997"/>
      <c r="AA91" s="997"/>
      <c r="AB91" s="937"/>
      <c r="AC91" s="937"/>
      <c r="AD91" s="996">
        <f t="shared" si="35"/>
        <v>0</v>
      </c>
      <c r="AE91" s="997">
        <f t="shared" si="36"/>
        <v>0</v>
      </c>
      <c r="AF91" s="990">
        <f t="shared" si="43"/>
        <v>0</v>
      </c>
      <c r="AG91" s="989">
        <f t="shared" si="38"/>
        <v>0</v>
      </c>
      <c r="AH91" s="996">
        <f t="shared" si="39"/>
        <v>0</v>
      </c>
    </row>
    <row r="92" spans="1:34" x14ac:dyDescent="0.25">
      <c r="A92" s="941" t="s">
        <v>1143</v>
      </c>
      <c r="B92" s="938"/>
      <c r="C92" s="40">
        <v>12000</v>
      </c>
      <c r="D92" s="989"/>
      <c r="E92" s="989"/>
      <c r="F92" s="989"/>
      <c r="G92" s="989"/>
      <c r="H92" s="989"/>
      <c r="I92" s="989"/>
      <c r="J92" s="989">
        <f>-12000</f>
        <v>-12000</v>
      </c>
      <c r="K92" s="989"/>
      <c r="L92" s="989"/>
      <c r="M92" s="989"/>
      <c r="N92" s="989">
        <f t="shared" si="37"/>
        <v>0</v>
      </c>
      <c r="O92" s="989">
        <f t="shared" si="40"/>
        <v>0</v>
      </c>
      <c r="P92" s="989">
        <f t="shared" si="41"/>
        <v>0</v>
      </c>
      <c r="Q92" s="989">
        <f t="shared" si="42"/>
        <v>0</v>
      </c>
      <c r="R92" s="265"/>
      <c r="S92" s="265"/>
      <c r="T92" s="265"/>
      <c r="U92" s="265"/>
      <c r="V92" s="997"/>
      <c r="W92" s="997"/>
      <c r="X92" s="997"/>
      <c r="Y92" s="997"/>
      <c r="Z92" s="997"/>
      <c r="AA92" s="997"/>
      <c r="AB92" s="188"/>
      <c r="AC92" s="188"/>
      <c r="AD92" s="996">
        <f t="shared" si="35"/>
        <v>0</v>
      </c>
      <c r="AE92" s="997">
        <f t="shared" si="36"/>
        <v>0</v>
      </c>
      <c r="AF92" s="990">
        <f t="shared" si="43"/>
        <v>0</v>
      </c>
      <c r="AG92" s="989">
        <f t="shared" si="38"/>
        <v>0</v>
      </c>
      <c r="AH92" s="996">
        <f t="shared" si="39"/>
        <v>0</v>
      </c>
    </row>
    <row r="93" spans="1:34" x14ac:dyDescent="0.25">
      <c r="A93" s="184" t="s">
        <v>344</v>
      </c>
      <c r="B93" s="234"/>
      <c r="C93" s="109">
        <f>SUM(C86:C92)</f>
        <v>15015</v>
      </c>
      <c r="D93" s="990">
        <f t="shared" ref="D93:G93" si="44">SUM(D86:D92)</f>
        <v>0</v>
      </c>
      <c r="E93" s="990">
        <f t="shared" si="44"/>
        <v>0</v>
      </c>
      <c r="F93" s="990">
        <f t="shared" si="44"/>
        <v>0</v>
      </c>
      <c r="G93" s="990">
        <f t="shared" si="44"/>
        <v>0</v>
      </c>
      <c r="H93" s="990">
        <f t="shared" ref="H93:J93" si="45">SUM(H86:H92)</f>
        <v>0</v>
      </c>
      <c r="I93" s="990">
        <f t="shared" si="45"/>
        <v>0</v>
      </c>
      <c r="J93" s="990">
        <f t="shared" si="45"/>
        <v>-15015</v>
      </c>
      <c r="K93" s="990">
        <f t="shared" ref="K93:M93" si="46">SUM(K86:K92)</f>
        <v>0</v>
      </c>
      <c r="L93" s="990">
        <f t="shared" si="46"/>
        <v>0</v>
      </c>
      <c r="M93" s="990">
        <f t="shared" si="46"/>
        <v>0</v>
      </c>
      <c r="N93" s="989">
        <f t="shared" si="37"/>
        <v>0</v>
      </c>
      <c r="O93" s="990">
        <f t="shared" ref="O93:AH93" si="47">SUM(O86:O92)</f>
        <v>0</v>
      </c>
      <c r="P93" s="990">
        <f t="shared" si="47"/>
        <v>0</v>
      </c>
      <c r="Q93" s="990">
        <f t="shared" si="47"/>
        <v>0</v>
      </c>
      <c r="R93" s="990">
        <f t="shared" si="47"/>
        <v>0</v>
      </c>
      <c r="S93" s="990">
        <f t="shared" si="47"/>
        <v>0</v>
      </c>
      <c r="T93" s="990">
        <f t="shared" si="47"/>
        <v>0</v>
      </c>
      <c r="U93" s="990">
        <f t="shared" si="47"/>
        <v>0</v>
      </c>
      <c r="V93" s="990">
        <f t="shared" si="47"/>
        <v>0</v>
      </c>
      <c r="W93" s="990">
        <f t="shared" si="47"/>
        <v>0</v>
      </c>
      <c r="X93" s="990">
        <f t="shared" si="47"/>
        <v>0</v>
      </c>
      <c r="Y93" s="990">
        <f t="shared" si="47"/>
        <v>0</v>
      </c>
      <c r="Z93" s="990">
        <f t="shared" si="47"/>
        <v>0</v>
      </c>
      <c r="AA93" s="990">
        <f t="shared" si="47"/>
        <v>0</v>
      </c>
      <c r="AB93" s="990">
        <f t="shared" si="47"/>
        <v>0</v>
      </c>
      <c r="AC93" s="990">
        <f t="shared" si="47"/>
        <v>0</v>
      </c>
      <c r="AD93" s="990">
        <f t="shared" si="47"/>
        <v>0</v>
      </c>
      <c r="AE93" s="990">
        <f t="shared" si="47"/>
        <v>0</v>
      </c>
      <c r="AF93" s="990">
        <f t="shared" si="47"/>
        <v>0</v>
      </c>
      <c r="AG93" s="990">
        <f>SUM(AG86:AG92)</f>
        <v>0</v>
      </c>
      <c r="AH93" s="990">
        <f t="shared" si="47"/>
        <v>0</v>
      </c>
    </row>
    <row r="94" spans="1:34" x14ac:dyDescent="0.25">
      <c r="A94" s="184" t="s">
        <v>343</v>
      </c>
      <c r="B94" s="234"/>
      <c r="C94" s="40"/>
      <c r="D94" s="989"/>
      <c r="E94" s="989"/>
      <c r="F94" s="989"/>
      <c r="G94" s="989"/>
      <c r="H94" s="989"/>
      <c r="I94" s="989"/>
      <c r="J94" s="989"/>
      <c r="K94" s="989"/>
      <c r="L94" s="989"/>
      <c r="M94" s="989"/>
      <c r="N94" s="989">
        <f t="shared" si="37"/>
        <v>0</v>
      </c>
      <c r="O94" s="40"/>
      <c r="P94" s="989">
        <f t="shared" si="41"/>
        <v>0</v>
      </c>
      <c r="Q94" s="989">
        <f t="shared" si="42"/>
        <v>0</v>
      </c>
      <c r="R94" s="265"/>
      <c r="S94" s="265"/>
      <c r="T94" s="265"/>
      <c r="U94" s="265"/>
      <c r="V94" s="997"/>
      <c r="W94" s="997"/>
      <c r="X94" s="997"/>
      <c r="Y94" s="997"/>
      <c r="Z94" s="997"/>
      <c r="AA94" s="997"/>
      <c r="AB94" s="188"/>
      <c r="AC94" s="188"/>
      <c r="AD94" s="188"/>
      <c r="AE94" s="188"/>
      <c r="AF94" s="188"/>
      <c r="AG94" s="188"/>
      <c r="AH94" s="188"/>
    </row>
    <row r="95" spans="1:34" x14ac:dyDescent="0.25">
      <c r="A95" s="185" t="s">
        <v>247</v>
      </c>
      <c r="B95" s="102" t="s">
        <v>113</v>
      </c>
      <c r="C95" s="52"/>
      <c r="D95" s="720"/>
      <c r="E95" s="720"/>
      <c r="F95" s="720"/>
      <c r="G95" s="720"/>
      <c r="H95" s="720"/>
      <c r="I95" s="720"/>
      <c r="J95" s="720"/>
      <c r="K95" s="720"/>
      <c r="L95" s="720"/>
      <c r="M95" s="720"/>
      <c r="N95" s="989">
        <f t="shared" si="37"/>
        <v>0</v>
      </c>
      <c r="O95" s="52"/>
      <c r="P95" s="989">
        <f t="shared" si="41"/>
        <v>0</v>
      </c>
      <c r="Q95" s="989">
        <f t="shared" si="42"/>
        <v>0</v>
      </c>
      <c r="R95" s="265"/>
      <c r="S95" s="265"/>
      <c r="T95" s="265"/>
      <c r="U95" s="265"/>
      <c r="V95" s="997"/>
      <c r="W95" s="997"/>
      <c r="X95" s="997"/>
      <c r="Y95" s="997"/>
      <c r="Z95" s="997"/>
      <c r="AA95" s="997"/>
      <c r="AB95" s="188"/>
      <c r="AC95" s="188"/>
      <c r="AD95" s="996">
        <f t="shared" ref="AD95:AD102" si="48">R95+S95+T95+U95+V95+W95+X95+Y95+Z95</f>
        <v>0</v>
      </c>
      <c r="AE95" s="997">
        <f t="shared" ref="AE95:AE102" si="49">AA95</f>
        <v>0</v>
      </c>
      <c r="AF95" s="188"/>
      <c r="AG95" s="188"/>
      <c r="AH95" s="188"/>
    </row>
    <row r="96" spans="1:34" x14ac:dyDescent="0.25">
      <c r="A96" s="897" t="s">
        <v>324</v>
      </c>
      <c r="B96" s="87"/>
      <c r="C96" s="52">
        <v>30000</v>
      </c>
      <c r="D96" s="720"/>
      <c r="E96" s="720"/>
      <c r="F96" s="720"/>
      <c r="G96" s="720"/>
      <c r="H96" s="720"/>
      <c r="I96" s="720"/>
      <c r="J96" s="720"/>
      <c r="K96" s="720"/>
      <c r="L96" s="720"/>
      <c r="M96" s="720"/>
      <c r="N96" s="989">
        <f t="shared" si="37"/>
        <v>30000</v>
      </c>
      <c r="O96" s="52">
        <f>N96</f>
        <v>30000</v>
      </c>
      <c r="P96" s="989">
        <f t="shared" si="41"/>
        <v>30000</v>
      </c>
      <c r="Q96" s="989">
        <f t="shared" si="42"/>
        <v>30000</v>
      </c>
      <c r="R96" s="265"/>
      <c r="S96" s="265"/>
      <c r="T96" s="265"/>
      <c r="U96" s="265"/>
      <c r="V96" s="997"/>
      <c r="W96" s="997"/>
      <c r="X96" s="997"/>
      <c r="Y96" s="997"/>
      <c r="Z96" s="997"/>
      <c r="AA96" s="997"/>
      <c r="AB96" s="188"/>
      <c r="AC96" s="188"/>
      <c r="AD96" s="996">
        <f t="shared" si="48"/>
        <v>0</v>
      </c>
      <c r="AE96" s="997">
        <f t="shared" si="49"/>
        <v>0</v>
      </c>
      <c r="AF96" s="990">
        <f t="shared" ref="AF96:AF102" si="50">AD96+AE96</f>
        <v>0</v>
      </c>
      <c r="AG96" s="989">
        <f t="shared" ref="AG96:AG102" si="51">Q96-AF96</f>
        <v>30000</v>
      </c>
      <c r="AH96" s="996">
        <f t="shared" ref="AH96:AH102" si="52">N96-AF96</f>
        <v>30000</v>
      </c>
    </row>
    <row r="97" spans="1:34" x14ac:dyDescent="0.25">
      <c r="A97" s="185" t="s">
        <v>241</v>
      </c>
      <c r="B97" s="197" t="s">
        <v>116</v>
      </c>
      <c r="C97" s="52"/>
      <c r="D97" s="720"/>
      <c r="E97" s="720"/>
      <c r="F97" s="720"/>
      <c r="G97" s="720"/>
      <c r="H97" s="720"/>
      <c r="I97" s="720"/>
      <c r="J97" s="720"/>
      <c r="K97" s="720"/>
      <c r="L97" s="720"/>
      <c r="M97" s="720"/>
      <c r="N97" s="989">
        <f t="shared" si="37"/>
        <v>0</v>
      </c>
      <c r="O97" s="720">
        <f t="shared" ref="O97:O101" si="53">N97</f>
        <v>0</v>
      </c>
      <c r="P97" s="989">
        <f t="shared" si="41"/>
        <v>0</v>
      </c>
      <c r="Q97" s="989">
        <f t="shared" si="42"/>
        <v>0</v>
      </c>
      <c r="R97" s="265"/>
      <c r="S97" s="265"/>
      <c r="T97" s="265"/>
      <c r="U97" s="265"/>
      <c r="V97" s="997"/>
      <c r="W97" s="997"/>
      <c r="X97" s="997"/>
      <c r="Y97" s="997"/>
      <c r="Z97" s="997"/>
      <c r="AA97" s="997"/>
      <c r="AB97" s="188"/>
      <c r="AC97" s="188"/>
      <c r="AD97" s="996">
        <f t="shared" si="48"/>
        <v>0</v>
      </c>
      <c r="AE97" s="997">
        <f t="shared" si="49"/>
        <v>0</v>
      </c>
      <c r="AF97" s="990">
        <f t="shared" si="50"/>
        <v>0</v>
      </c>
      <c r="AG97" s="989">
        <f t="shared" si="51"/>
        <v>0</v>
      </c>
      <c r="AH97" s="996">
        <f t="shared" si="52"/>
        <v>0</v>
      </c>
    </row>
    <row r="98" spans="1:34" x14ac:dyDescent="0.25">
      <c r="A98" s="899" t="s">
        <v>284</v>
      </c>
      <c r="B98" s="87"/>
      <c r="C98" s="52">
        <v>9000</v>
      </c>
      <c r="D98" s="720"/>
      <c r="E98" s="720"/>
      <c r="F98" s="720"/>
      <c r="G98" s="720"/>
      <c r="H98" s="720"/>
      <c r="I98" s="720"/>
      <c r="J98" s="720"/>
      <c r="K98" s="720"/>
      <c r="L98" s="720"/>
      <c r="M98" s="720"/>
      <c r="N98" s="989">
        <f t="shared" si="37"/>
        <v>9000</v>
      </c>
      <c r="O98" s="720">
        <f t="shared" si="53"/>
        <v>9000</v>
      </c>
      <c r="P98" s="989">
        <f t="shared" si="41"/>
        <v>9000</v>
      </c>
      <c r="Q98" s="989">
        <f t="shared" si="42"/>
        <v>9000</v>
      </c>
      <c r="R98" s="265"/>
      <c r="S98" s="265"/>
      <c r="T98" s="265"/>
      <c r="U98" s="265"/>
      <c r="V98" s="997"/>
      <c r="W98" s="997"/>
      <c r="X98" s="997">
        <v>8201</v>
      </c>
      <c r="Y98" s="997"/>
      <c r="Z98" s="997"/>
      <c r="AA98" s="997"/>
      <c r="AB98" s="188"/>
      <c r="AC98" s="188"/>
      <c r="AD98" s="996">
        <f t="shared" si="48"/>
        <v>8201</v>
      </c>
      <c r="AE98" s="997">
        <f t="shared" si="49"/>
        <v>0</v>
      </c>
      <c r="AF98" s="990">
        <f t="shared" si="50"/>
        <v>8201</v>
      </c>
      <c r="AG98" s="989">
        <f t="shared" si="51"/>
        <v>799</v>
      </c>
      <c r="AH98" s="996">
        <f t="shared" si="52"/>
        <v>799</v>
      </c>
    </row>
    <row r="99" spans="1:34" s="987" customFormat="1" x14ac:dyDescent="0.25">
      <c r="A99" s="899" t="s">
        <v>1302</v>
      </c>
      <c r="B99" s="916" t="s">
        <v>441</v>
      </c>
      <c r="C99" s="720"/>
      <c r="D99" s="720"/>
      <c r="E99" s="720"/>
      <c r="F99" s="720"/>
      <c r="G99" s="720"/>
      <c r="H99" s="720"/>
      <c r="I99" s="720"/>
      <c r="J99" s="720"/>
      <c r="K99" s="720"/>
      <c r="L99" s="720"/>
      <c r="M99" s="720">
        <v>70000</v>
      </c>
      <c r="N99" s="989">
        <f t="shared" si="37"/>
        <v>70000</v>
      </c>
      <c r="O99" s="720">
        <f t="shared" si="53"/>
        <v>70000</v>
      </c>
      <c r="P99" s="989">
        <f t="shared" si="41"/>
        <v>70000</v>
      </c>
      <c r="Q99" s="989">
        <f t="shared" si="42"/>
        <v>70000</v>
      </c>
      <c r="R99" s="997"/>
      <c r="S99" s="997"/>
      <c r="T99" s="997"/>
      <c r="U99" s="997"/>
      <c r="V99" s="997"/>
      <c r="W99" s="997"/>
      <c r="X99" s="997">
        <v>45115</v>
      </c>
      <c r="Y99" s="997"/>
      <c r="Z99" s="997"/>
      <c r="AA99" s="997"/>
      <c r="AB99" s="937"/>
      <c r="AC99" s="937"/>
      <c r="AD99" s="996">
        <f t="shared" si="48"/>
        <v>45115</v>
      </c>
      <c r="AE99" s="997">
        <f t="shared" si="49"/>
        <v>0</v>
      </c>
      <c r="AF99" s="990">
        <f t="shared" si="50"/>
        <v>45115</v>
      </c>
      <c r="AG99" s="989">
        <f t="shared" si="51"/>
        <v>24885</v>
      </c>
      <c r="AH99" s="996">
        <f t="shared" si="52"/>
        <v>24885</v>
      </c>
    </row>
    <row r="100" spans="1:34" s="987" customFormat="1" ht="26.25" x14ac:dyDescent="0.25">
      <c r="A100" s="1134" t="s">
        <v>1303</v>
      </c>
      <c r="B100" s="916" t="s">
        <v>441</v>
      </c>
      <c r="C100" s="720"/>
      <c r="D100" s="720"/>
      <c r="E100" s="720"/>
      <c r="F100" s="720"/>
      <c r="G100" s="720"/>
      <c r="H100" s="720"/>
      <c r="I100" s="720"/>
      <c r="J100" s="720"/>
      <c r="K100" s="720"/>
      <c r="L100" s="720"/>
      <c r="M100" s="720">
        <v>475000</v>
      </c>
      <c r="N100" s="989">
        <f t="shared" si="37"/>
        <v>475000</v>
      </c>
      <c r="O100" s="720">
        <f t="shared" si="53"/>
        <v>475000</v>
      </c>
      <c r="P100" s="989">
        <f t="shared" si="41"/>
        <v>475000</v>
      </c>
      <c r="Q100" s="989">
        <f t="shared" si="42"/>
        <v>475000</v>
      </c>
      <c r="R100" s="997"/>
      <c r="S100" s="997"/>
      <c r="T100" s="997"/>
      <c r="U100" s="997"/>
      <c r="V100" s="997"/>
      <c r="W100" s="997"/>
      <c r="X100" s="997"/>
      <c r="Y100" s="997"/>
      <c r="Z100" s="997"/>
      <c r="AA100" s="997">
        <v>475000</v>
      </c>
      <c r="AB100" s="937"/>
      <c r="AC100" s="937"/>
      <c r="AD100" s="996">
        <f t="shared" si="48"/>
        <v>0</v>
      </c>
      <c r="AE100" s="997">
        <f t="shared" si="49"/>
        <v>475000</v>
      </c>
      <c r="AF100" s="990">
        <f t="shared" si="50"/>
        <v>475000</v>
      </c>
      <c r="AG100" s="989">
        <f t="shared" si="51"/>
        <v>0</v>
      </c>
      <c r="AH100" s="996">
        <f t="shared" si="52"/>
        <v>0</v>
      </c>
    </row>
    <row r="101" spans="1:34" s="987" customFormat="1" ht="26.25" x14ac:dyDescent="0.25">
      <c r="A101" s="1135" t="s">
        <v>1304</v>
      </c>
      <c r="B101" s="916" t="s">
        <v>114</v>
      </c>
      <c r="C101" s="720"/>
      <c r="D101" s="720"/>
      <c r="E101" s="720"/>
      <c r="F101" s="720">
        <f>-50000</f>
        <v>-50000</v>
      </c>
      <c r="G101" s="720"/>
      <c r="H101" s="720"/>
      <c r="I101" s="720"/>
      <c r="J101" s="720"/>
      <c r="K101" s="720"/>
      <c r="L101" s="720"/>
      <c r="M101" s="720">
        <v>50000</v>
      </c>
      <c r="N101" s="989">
        <f t="shared" si="37"/>
        <v>0</v>
      </c>
      <c r="O101" s="720">
        <f t="shared" si="53"/>
        <v>0</v>
      </c>
      <c r="P101" s="989">
        <f t="shared" si="41"/>
        <v>0</v>
      </c>
      <c r="Q101" s="989">
        <f t="shared" si="42"/>
        <v>0</v>
      </c>
      <c r="R101" s="997"/>
      <c r="S101" s="997"/>
      <c r="T101" s="997"/>
      <c r="U101" s="997"/>
      <c r="V101" s="997"/>
      <c r="W101" s="997"/>
      <c r="X101" s="997"/>
      <c r="Y101" s="997"/>
      <c r="Z101" s="997"/>
      <c r="AA101" s="997"/>
      <c r="AB101" s="937"/>
      <c r="AC101" s="937"/>
      <c r="AD101" s="996">
        <f t="shared" si="48"/>
        <v>0</v>
      </c>
      <c r="AE101" s="997">
        <f t="shared" si="49"/>
        <v>0</v>
      </c>
      <c r="AF101" s="990">
        <f t="shared" si="50"/>
        <v>0</v>
      </c>
      <c r="AG101" s="989">
        <f t="shared" si="51"/>
        <v>0</v>
      </c>
      <c r="AH101" s="996">
        <f t="shared" si="52"/>
        <v>0</v>
      </c>
    </row>
    <row r="102" spans="1:34" s="987" customFormat="1" x14ac:dyDescent="0.25">
      <c r="A102" s="899"/>
      <c r="B102" s="916"/>
      <c r="C102" s="720"/>
      <c r="D102" s="720"/>
      <c r="E102" s="720"/>
      <c r="F102" s="720"/>
      <c r="G102" s="720"/>
      <c r="H102" s="720"/>
      <c r="I102" s="720"/>
      <c r="J102" s="720"/>
      <c r="K102" s="720"/>
      <c r="L102" s="720"/>
      <c r="M102" s="720"/>
      <c r="N102" s="989">
        <f t="shared" si="37"/>
        <v>0</v>
      </c>
      <c r="O102" s="720"/>
      <c r="P102" s="989">
        <f t="shared" si="41"/>
        <v>0</v>
      </c>
      <c r="Q102" s="989">
        <f t="shared" si="42"/>
        <v>0</v>
      </c>
      <c r="R102" s="997"/>
      <c r="S102" s="997"/>
      <c r="T102" s="997"/>
      <c r="U102" s="997"/>
      <c r="V102" s="997"/>
      <c r="W102" s="997"/>
      <c r="X102" s="997"/>
      <c r="Y102" s="997"/>
      <c r="Z102" s="997"/>
      <c r="AA102" s="997"/>
      <c r="AB102" s="937"/>
      <c r="AC102" s="937"/>
      <c r="AD102" s="996">
        <f t="shared" si="48"/>
        <v>0</v>
      </c>
      <c r="AE102" s="997">
        <f t="shared" si="49"/>
        <v>0</v>
      </c>
      <c r="AF102" s="990">
        <f t="shared" si="50"/>
        <v>0</v>
      </c>
      <c r="AG102" s="989">
        <f t="shared" si="51"/>
        <v>0</v>
      </c>
      <c r="AH102" s="996">
        <f t="shared" si="52"/>
        <v>0</v>
      </c>
    </row>
    <row r="103" spans="1:34" x14ac:dyDescent="0.25">
      <c r="A103" s="184" t="s">
        <v>328</v>
      </c>
      <c r="B103" s="87"/>
      <c r="C103" s="109">
        <f>SUM(C95:C101)</f>
        <v>39000</v>
      </c>
      <c r="D103" s="990">
        <f t="shared" ref="D103:E103" si="54">SUM(D95:D101)</f>
        <v>0</v>
      </c>
      <c r="E103" s="990">
        <f t="shared" si="54"/>
        <v>0</v>
      </c>
      <c r="F103" s="990">
        <f>SUM(F95:F101)</f>
        <v>-50000</v>
      </c>
      <c r="G103" s="990">
        <f>SUM(G95:G101)</f>
        <v>0</v>
      </c>
      <c r="H103" s="990">
        <f t="shared" ref="H103" si="55">SUM(H95:H101)</f>
        <v>0</v>
      </c>
      <c r="I103" s="990">
        <f t="shared" ref="I103:J103" si="56">SUM(I95:I101)</f>
        <v>0</v>
      </c>
      <c r="J103" s="990">
        <f t="shared" si="56"/>
        <v>0</v>
      </c>
      <c r="K103" s="990">
        <f t="shared" ref="K103" si="57">SUM(K95:K101)</f>
        <v>0</v>
      </c>
      <c r="L103" s="990">
        <f t="shared" ref="L103" si="58">SUM(L95:L101)</f>
        <v>0</v>
      </c>
      <c r="M103" s="990">
        <f>SUM(M95:M101)</f>
        <v>595000</v>
      </c>
      <c r="N103" s="990">
        <f t="shared" ref="N103:AH103" si="59">SUM(N95:N101)</f>
        <v>584000</v>
      </c>
      <c r="O103" s="990">
        <f t="shared" si="59"/>
        <v>584000</v>
      </c>
      <c r="P103" s="990">
        <f t="shared" si="59"/>
        <v>584000</v>
      </c>
      <c r="Q103" s="990">
        <f t="shared" si="59"/>
        <v>584000</v>
      </c>
      <c r="R103" s="990">
        <f t="shared" si="59"/>
        <v>0</v>
      </c>
      <c r="S103" s="990">
        <f t="shared" si="59"/>
        <v>0</v>
      </c>
      <c r="T103" s="990">
        <f t="shared" si="59"/>
        <v>0</v>
      </c>
      <c r="U103" s="990">
        <f t="shared" si="59"/>
        <v>0</v>
      </c>
      <c r="V103" s="990">
        <f t="shared" si="59"/>
        <v>0</v>
      </c>
      <c r="W103" s="990">
        <f t="shared" si="59"/>
        <v>0</v>
      </c>
      <c r="X103" s="990">
        <f t="shared" si="59"/>
        <v>53316</v>
      </c>
      <c r="Y103" s="990">
        <f t="shared" si="59"/>
        <v>0</v>
      </c>
      <c r="Z103" s="990">
        <f t="shared" si="59"/>
        <v>0</v>
      </c>
      <c r="AA103" s="990">
        <f t="shared" si="59"/>
        <v>475000</v>
      </c>
      <c r="AB103" s="990">
        <f t="shared" si="59"/>
        <v>0</v>
      </c>
      <c r="AC103" s="990">
        <f t="shared" si="59"/>
        <v>0</v>
      </c>
      <c r="AD103" s="990">
        <f t="shared" si="59"/>
        <v>53316</v>
      </c>
      <c r="AE103" s="990">
        <f t="shared" si="59"/>
        <v>475000</v>
      </c>
      <c r="AF103" s="990">
        <f t="shared" si="59"/>
        <v>528316</v>
      </c>
      <c r="AG103" s="990">
        <f t="shared" si="59"/>
        <v>55684</v>
      </c>
      <c r="AH103" s="990">
        <f t="shared" si="59"/>
        <v>55684</v>
      </c>
    </row>
    <row r="104" spans="1:34" x14ac:dyDescent="0.25">
      <c r="A104" s="184" t="s">
        <v>119</v>
      </c>
      <c r="B104" s="87"/>
      <c r="C104" s="109">
        <f>C93+C103</f>
        <v>54015</v>
      </c>
      <c r="D104" s="990">
        <f t="shared" ref="D104:E104" si="60">D93+D103</f>
        <v>0</v>
      </c>
      <c r="E104" s="990">
        <f t="shared" si="60"/>
        <v>0</v>
      </c>
      <c r="F104" s="990">
        <f>F93+F103</f>
        <v>-50000</v>
      </c>
      <c r="G104" s="990">
        <f>G93+G103</f>
        <v>0</v>
      </c>
      <c r="H104" s="990">
        <f t="shared" ref="H104" si="61">H93+H103</f>
        <v>0</v>
      </c>
      <c r="I104" s="990">
        <f t="shared" ref="I104:J104" si="62">I93+I103</f>
        <v>0</v>
      </c>
      <c r="J104" s="990">
        <f t="shared" si="62"/>
        <v>-15015</v>
      </c>
      <c r="K104" s="990">
        <f t="shared" ref="K104" si="63">K93+K103</f>
        <v>0</v>
      </c>
      <c r="L104" s="990">
        <f t="shared" ref="L104" si="64">L93+L103</f>
        <v>0</v>
      </c>
      <c r="M104" s="990">
        <f t="shared" ref="M104:AH104" si="65">M93+M103</f>
        <v>595000</v>
      </c>
      <c r="N104" s="109">
        <f t="shared" si="65"/>
        <v>584000</v>
      </c>
      <c r="O104" s="109">
        <f t="shared" si="65"/>
        <v>584000</v>
      </c>
      <c r="P104" s="109">
        <f t="shared" si="65"/>
        <v>584000</v>
      </c>
      <c r="Q104" s="109">
        <f t="shared" si="65"/>
        <v>584000</v>
      </c>
      <c r="R104" s="109">
        <f t="shared" si="65"/>
        <v>0</v>
      </c>
      <c r="S104" s="109">
        <f t="shared" si="65"/>
        <v>0</v>
      </c>
      <c r="T104" s="109">
        <f t="shared" si="65"/>
        <v>0</v>
      </c>
      <c r="U104" s="109">
        <f t="shared" si="65"/>
        <v>0</v>
      </c>
      <c r="V104" s="990">
        <f t="shared" si="65"/>
        <v>0</v>
      </c>
      <c r="W104" s="990">
        <f t="shared" si="65"/>
        <v>0</v>
      </c>
      <c r="X104" s="990">
        <f t="shared" si="65"/>
        <v>53316</v>
      </c>
      <c r="Y104" s="990">
        <f t="shared" si="65"/>
        <v>0</v>
      </c>
      <c r="Z104" s="990">
        <f t="shared" si="65"/>
        <v>0</v>
      </c>
      <c r="AA104" s="990">
        <f t="shared" si="65"/>
        <v>475000</v>
      </c>
      <c r="AB104" s="109">
        <f t="shared" si="65"/>
        <v>0</v>
      </c>
      <c r="AC104" s="109">
        <f t="shared" si="65"/>
        <v>0</v>
      </c>
      <c r="AD104" s="109">
        <f t="shared" si="65"/>
        <v>53316</v>
      </c>
      <c r="AE104" s="109">
        <f t="shared" si="65"/>
        <v>475000</v>
      </c>
      <c r="AF104" s="109">
        <f t="shared" si="65"/>
        <v>528316</v>
      </c>
      <c r="AG104" s="109">
        <f t="shared" si="65"/>
        <v>55684</v>
      </c>
      <c r="AH104" s="109">
        <f t="shared" si="65"/>
        <v>55684</v>
      </c>
    </row>
    <row r="105" spans="1:34" ht="15.75" thickBot="1" x14ac:dyDescent="0.3">
      <c r="A105" s="189" t="s">
        <v>160</v>
      </c>
      <c r="B105" s="237"/>
      <c r="C105" s="368">
        <f t="shared" ref="C105:AH105" si="66">C30+C83+C104</f>
        <v>5172129.08</v>
      </c>
      <c r="D105" s="368">
        <f t="shared" ref="D105:E105" si="67">D30+D83+D104</f>
        <v>0</v>
      </c>
      <c r="E105" s="368">
        <f t="shared" si="67"/>
        <v>180000</v>
      </c>
      <c r="F105" s="368">
        <f t="shared" ref="F105" si="68">F30+F83+F104</f>
        <v>-50000</v>
      </c>
      <c r="G105" s="368">
        <f t="shared" ref="G105" si="69">G30+G83+G104</f>
        <v>-17334.400000000001</v>
      </c>
      <c r="H105" s="368">
        <f t="shared" ref="H105" si="70">H30+H83+H104</f>
        <v>-30668.799999999999</v>
      </c>
      <c r="I105" s="368">
        <f t="shared" ref="I105:J105" si="71">I30+I83+I104</f>
        <v>0</v>
      </c>
      <c r="J105" s="368">
        <f t="shared" si="71"/>
        <v>-15015</v>
      </c>
      <c r="K105" s="368">
        <f t="shared" ref="K105" si="72">K30+K83+K104</f>
        <v>5060</v>
      </c>
      <c r="L105" s="368">
        <f t="shared" ref="L105" si="73">L30+L83+L104</f>
        <v>-51609.599999999999</v>
      </c>
      <c r="M105" s="368">
        <f t="shared" si="66"/>
        <v>1100000</v>
      </c>
      <c r="N105" s="368">
        <f t="shared" si="66"/>
        <v>6292561.2800000003</v>
      </c>
      <c r="O105" s="368">
        <f t="shared" si="66"/>
        <v>4869420.96</v>
      </c>
      <c r="P105" s="368">
        <f t="shared" si="66"/>
        <v>1059713.44</v>
      </c>
      <c r="Q105" s="368">
        <f t="shared" si="66"/>
        <v>5301801.0666666673</v>
      </c>
      <c r="R105" s="368">
        <f t="shared" si="66"/>
        <v>242863.66999999998</v>
      </c>
      <c r="S105" s="368">
        <f t="shared" si="66"/>
        <v>275123.96999999997</v>
      </c>
      <c r="T105" s="368">
        <f t="shared" si="66"/>
        <v>347169.8</v>
      </c>
      <c r="U105" s="368">
        <f t="shared" si="66"/>
        <v>358240.48</v>
      </c>
      <c r="V105" s="368">
        <f t="shared" si="66"/>
        <v>431495.16000000003</v>
      </c>
      <c r="W105" s="368">
        <f t="shared" si="66"/>
        <v>395495.54000000004</v>
      </c>
      <c r="X105" s="368">
        <f t="shared" si="66"/>
        <v>376427.05</v>
      </c>
      <c r="Y105" s="368">
        <f t="shared" si="66"/>
        <v>390657.92000000004</v>
      </c>
      <c r="Z105" s="368">
        <f t="shared" si="66"/>
        <v>404608.14</v>
      </c>
      <c r="AA105" s="368">
        <f t="shared" si="66"/>
        <v>790602.38</v>
      </c>
      <c r="AB105" s="368">
        <f t="shared" si="66"/>
        <v>0</v>
      </c>
      <c r="AC105" s="368">
        <f t="shared" si="66"/>
        <v>0</v>
      </c>
      <c r="AD105" s="368">
        <f t="shared" si="66"/>
        <v>3222081.73</v>
      </c>
      <c r="AE105" s="368">
        <f t="shared" si="66"/>
        <v>790602.38</v>
      </c>
      <c r="AF105" s="368">
        <f t="shared" si="66"/>
        <v>4012684.11</v>
      </c>
      <c r="AG105" s="368">
        <f t="shared" si="66"/>
        <v>1289116.9566666665</v>
      </c>
      <c r="AH105" s="368">
        <f t="shared" si="66"/>
        <v>2279877.17</v>
      </c>
    </row>
    <row r="106" spans="1:34" ht="15.75" thickTop="1" x14ac:dyDescent="0.25"/>
    <row r="107" spans="1:34" s="712" customFormat="1" x14ac:dyDescent="0.25">
      <c r="B107" s="30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R107" s="303"/>
      <c r="S107" s="303"/>
      <c r="T107" s="303"/>
      <c r="U107" s="303"/>
      <c r="V107" s="303"/>
      <c r="W107" s="303"/>
      <c r="X107" s="303"/>
      <c r="Y107" s="303"/>
      <c r="Z107" s="303"/>
      <c r="AA107" s="303"/>
      <c r="AG107" s="743"/>
    </row>
    <row r="108" spans="1:34" s="987" customFormat="1" x14ac:dyDescent="0.25">
      <c r="A108" s="987" t="s">
        <v>354</v>
      </c>
      <c r="B108" s="30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R108" s="303"/>
      <c r="S108" s="303"/>
      <c r="T108" s="303"/>
      <c r="U108" s="303"/>
      <c r="V108" s="303"/>
      <c r="W108" s="303"/>
      <c r="X108" s="303"/>
      <c r="Y108" s="303"/>
      <c r="Z108" s="303"/>
      <c r="AA108" s="303"/>
      <c r="AG108" s="743" t="s">
        <v>357</v>
      </c>
    </row>
    <row r="109" spans="1:34" s="987" customFormat="1" x14ac:dyDescent="0.25">
      <c r="B109" s="30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R109" s="303"/>
      <c r="S109" s="303"/>
      <c r="T109" s="303"/>
      <c r="U109" s="303"/>
      <c r="V109" s="303"/>
      <c r="W109" s="303"/>
      <c r="X109" s="303"/>
      <c r="Y109" s="303"/>
      <c r="Z109" s="303"/>
      <c r="AA109" s="303"/>
      <c r="AG109" s="743"/>
    </row>
    <row r="110" spans="1:34" s="987" customFormat="1" x14ac:dyDescent="0.25">
      <c r="B110" s="988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R110" s="303"/>
      <c r="S110" s="303"/>
      <c r="T110" s="303"/>
      <c r="U110" s="303"/>
      <c r="V110" s="303"/>
      <c r="W110" s="303"/>
      <c r="X110" s="303"/>
      <c r="Y110" s="303"/>
      <c r="Z110" s="303"/>
      <c r="AA110" s="303"/>
    </row>
    <row r="111" spans="1:34" s="987" customFormat="1" x14ac:dyDescent="0.25">
      <c r="A111" s="742"/>
      <c r="B111" s="710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R111" s="303"/>
      <c r="S111" s="303"/>
      <c r="T111" s="303"/>
      <c r="U111" s="303"/>
      <c r="V111" s="303"/>
      <c r="W111" s="303"/>
      <c r="X111" s="303"/>
      <c r="Y111" s="303"/>
      <c r="Z111" s="303"/>
      <c r="AA111" s="303"/>
      <c r="AG111" s="744"/>
    </row>
    <row r="112" spans="1:34" s="987" customFormat="1" x14ac:dyDescent="0.25">
      <c r="A112" s="742" t="s">
        <v>355</v>
      </c>
      <c r="B112" s="710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R112" s="303"/>
      <c r="S112" s="303"/>
      <c r="T112" s="303"/>
      <c r="U112" s="303"/>
      <c r="V112" s="303"/>
      <c r="W112" s="303"/>
      <c r="X112" s="303"/>
      <c r="Y112" s="303"/>
      <c r="Z112" s="303"/>
      <c r="AA112" s="303"/>
      <c r="AG112" s="744" t="s">
        <v>358</v>
      </c>
    </row>
    <row r="113" spans="1:33" s="987" customFormat="1" x14ac:dyDescent="0.25">
      <c r="A113" s="743" t="s">
        <v>356</v>
      </c>
      <c r="R113" s="303"/>
      <c r="S113" s="303"/>
      <c r="T113" s="303"/>
      <c r="U113" s="303"/>
      <c r="V113" s="303"/>
      <c r="W113" s="303"/>
      <c r="X113" s="303"/>
      <c r="Y113" s="303"/>
      <c r="Z113" s="303"/>
      <c r="AA113" s="303"/>
      <c r="AG113" s="743" t="s">
        <v>359</v>
      </c>
    </row>
    <row r="119" spans="1:33" x14ac:dyDescent="0.25">
      <c r="O119" s="21" t="s">
        <v>1315</v>
      </c>
    </row>
  </sheetData>
  <mergeCells count="3">
    <mergeCell ref="A1:AH1"/>
    <mergeCell ref="A2:AH2"/>
    <mergeCell ref="A3:AH3"/>
  </mergeCells>
  <printOptions horizontalCentered="1" headings="1"/>
  <pageMargins left="0.7" right="0.2" top="1.75" bottom="0.25" header="0.3" footer="0.3"/>
  <pageSetup paperSize="5" scale="52" orientation="landscape" r:id="rId1"/>
  <rowBreaks count="2" manualBreakCount="2">
    <brk id="48" max="16383" man="1"/>
    <brk id="93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8"/>
  <sheetViews>
    <sheetView view="pageBreakPreview" zoomScale="89" zoomScaleNormal="86" zoomScaleSheetLayoutView="89" workbookViewId="0">
      <pane xSplit="1" topLeftCell="B1" activePane="topRight" state="frozen"/>
      <selection pane="topRight" activeCell="E97" sqref="E97"/>
    </sheetView>
  </sheetViews>
  <sheetFormatPr defaultRowHeight="15" outlineLevelCol="1" x14ac:dyDescent="0.25"/>
  <cols>
    <col min="1" max="1" width="43" style="21" customWidth="1"/>
    <col min="2" max="2" width="12.28515625" style="21" customWidth="1"/>
    <col min="3" max="3" width="13.28515625" style="21" customWidth="1"/>
    <col min="4" max="4" width="15.28515625" style="987" customWidth="1"/>
    <col min="5" max="9" width="12.5703125" style="987" customWidth="1"/>
    <col min="10" max="12" width="12.5703125" style="21" customWidth="1"/>
    <col min="13" max="13" width="12.7109375" style="21" customWidth="1"/>
    <col min="14" max="20" width="12.7109375" style="650" hidden="1" customWidth="1" outlineLevel="1"/>
    <col min="21" max="21" width="15.140625" style="650" hidden="1" customWidth="1" outlineLevel="1"/>
    <col min="22" max="22" width="17.28515625" style="650" hidden="1" customWidth="1" outlineLevel="1"/>
    <col min="23" max="25" width="12.7109375" style="650" hidden="1" customWidth="1" outlineLevel="1"/>
    <col min="26" max="26" width="12.7109375" style="650" customWidth="1" collapsed="1"/>
    <col min="27" max="29" width="12.7109375" style="21" customWidth="1"/>
    <col min="30" max="30" width="14.85546875" style="21" customWidth="1"/>
    <col min="31" max="16384" width="9.140625" style="21"/>
  </cols>
  <sheetData>
    <row r="1" spans="1:30" x14ac:dyDescent="0.25">
      <c r="A1" s="1432" t="s">
        <v>352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1432"/>
      <c r="M1" s="1432"/>
      <c r="N1" s="1432"/>
      <c r="O1" s="1432"/>
      <c r="P1" s="1432"/>
      <c r="Q1" s="1432"/>
      <c r="R1" s="1432"/>
      <c r="S1" s="1432"/>
      <c r="T1" s="1432"/>
      <c r="U1" s="1432"/>
      <c r="V1" s="1432"/>
      <c r="W1" s="1432"/>
      <c r="X1" s="1432"/>
      <c r="Y1" s="1432"/>
      <c r="Z1" s="1432"/>
      <c r="AA1" s="1432"/>
      <c r="AB1" s="1432"/>
      <c r="AC1" s="1432"/>
      <c r="AD1" s="1432"/>
    </row>
    <row r="2" spans="1:30" x14ac:dyDescent="0.25">
      <c r="A2" s="1432" t="s">
        <v>353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1432"/>
      <c r="Y2" s="1432"/>
      <c r="Z2" s="1432"/>
      <c r="AA2" s="1432"/>
      <c r="AB2" s="1432"/>
      <c r="AC2" s="1432"/>
      <c r="AD2" s="1432"/>
    </row>
    <row r="3" spans="1:30" ht="15.75" thickBot="1" x14ac:dyDescent="0.3">
      <c r="A3" s="1433" t="str">
        <f>'8712-MENRO'!A3:AH3</f>
        <v>For the Period October 1-31, 2021</v>
      </c>
      <c r="B3" s="1433"/>
      <c r="C3" s="1433"/>
      <c r="D3" s="1433"/>
      <c r="E3" s="1433"/>
      <c r="F3" s="1433"/>
      <c r="G3" s="1433"/>
      <c r="H3" s="1433"/>
      <c r="I3" s="1433"/>
      <c r="J3" s="1433"/>
      <c r="K3" s="1433"/>
      <c r="L3" s="1433"/>
      <c r="M3" s="1433"/>
      <c r="N3" s="1433"/>
      <c r="O3" s="1433"/>
      <c r="P3" s="1433"/>
      <c r="Q3" s="1433"/>
      <c r="R3" s="1433"/>
      <c r="S3" s="1433"/>
      <c r="T3" s="1433"/>
      <c r="U3" s="1433"/>
      <c r="V3" s="1433"/>
      <c r="W3" s="1433"/>
      <c r="X3" s="1433"/>
      <c r="Y3" s="1433"/>
      <c r="Z3" s="1433"/>
      <c r="AA3" s="1433"/>
      <c r="AB3" s="1433"/>
      <c r="AC3" s="1433"/>
      <c r="AD3" s="1433"/>
    </row>
    <row r="4" spans="1:30" ht="27" thickTop="1" x14ac:dyDescent="0.25">
      <c r="A4" s="71" t="s">
        <v>347</v>
      </c>
      <c r="B4" s="71" t="s">
        <v>2</v>
      </c>
      <c r="C4" s="71" t="s">
        <v>133</v>
      </c>
      <c r="D4" s="71" t="s">
        <v>1374</v>
      </c>
      <c r="E4" s="71" t="s">
        <v>1337</v>
      </c>
      <c r="F4" s="1073" t="s">
        <v>1204</v>
      </c>
      <c r="G4" s="1073" t="s">
        <v>1227</v>
      </c>
      <c r="H4" s="1073" t="s">
        <v>1204</v>
      </c>
      <c r="I4" s="1073" t="s">
        <v>1204</v>
      </c>
      <c r="J4" s="71" t="s">
        <v>1</v>
      </c>
      <c r="K4" s="71" t="s">
        <v>316</v>
      </c>
      <c r="L4" s="71" t="s">
        <v>314</v>
      </c>
      <c r="M4" s="74" t="s">
        <v>346</v>
      </c>
      <c r="N4" s="72"/>
      <c r="O4" s="72"/>
      <c r="P4" s="72"/>
      <c r="Q4" s="72"/>
      <c r="R4" s="83"/>
      <c r="S4" s="83"/>
      <c r="T4" s="83"/>
      <c r="U4" s="83"/>
      <c r="V4" s="83"/>
      <c r="W4" s="83"/>
      <c r="X4" s="83"/>
      <c r="Y4" s="83"/>
      <c r="Z4" s="74" t="s">
        <v>316</v>
      </c>
      <c r="AA4" s="74" t="s">
        <v>348</v>
      </c>
      <c r="AB4" s="74" t="s">
        <v>1</v>
      </c>
      <c r="AC4" s="74" t="s">
        <v>131</v>
      </c>
      <c r="AD4" s="74" t="s">
        <v>131</v>
      </c>
    </row>
    <row r="5" spans="1:30" ht="15.75" thickBot="1" x14ac:dyDescent="0.3">
      <c r="A5" s="85"/>
      <c r="B5" s="85" t="s">
        <v>3</v>
      </c>
      <c r="C5" s="85" t="s">
        <v>134</v>
      </c>
      <c r="D5" s="730" t="s">
        <v>1377</v>
      </c>
      <c r="E5" s="1207">
        <v>44389</v>
      </c>
      <c r="F5" s="1009" t="s">
        <v>1184</v>
      </c>
      <c r="G5" s="1101">
        <v>44305</v>
      </c>
      <c r="H5" s="1009" t="s">
        <v>1356</v>
      </c>
      <c r="I5" s="1009" t="s">
        <v>1336</v>
      </c>
      <c r="J5" s="85" t="s">
        <v>314</v>
      </c>
      <c r="K5" s="85" t="s">
        <v>314</v>
      </c>
      <c r="L5" s="85" t="s">
        <v>315</v>
      </c>
      <c r="M5" s="75" t="s">
        <v>315</v>
      </c>
      <c r="N5" s="75" t="s">
        <v>0</v>
      </c>
      <c r="O5" s="75" t="s">
        <v>120</v>
      </c>
      <c r="P5" s="75" t="s">
        <v>121</v>
      </c>
      <c r="Q5" s="75" t="s">
        <v>122</v>
      </c>
      <c r="R5" s="75" t="s">
        <v>123</v>
      </c>
      <c r="S5" s="75" t="s">
        <v>124</v>
      </c>
      <c r="T5" s="75" t="s">
        <v>125</v>
      </c>
      <c r="U5" s="75" t="s">
        <v>126</v>
      </c>
      <c r="V5" s="75" t="s">
        <v>127</v>
      </c>
      <c r="W5" s="75" t="s">
        <v>128</v>
      </c>
      <c r="X5" s="75" t="s">
        <v>129</v>
      </c>
      <c r="Y5" s="75" t="s">
        <v>130</v>
      </c>
      <c r="Z5" s="75" t="s">
        <v>317</v>
      </c>
      <c r="AA5" s="75" t="s">
        <v>315</v>
      </c>
      <c r="AB5" s="75" t="s">
        <v>317</v>
      </c>
      <c r="AC5" s="75" t="s">
        <v>314</v>
      </c>
      <c r="AD5" s="75" t="s">
        <v>132</v>
      </c>
    </row>
    <row r="6" spans="1:30" ht="15.75" thickTop="1" x14ac:dyDescent="0.25">
      <c r="A6" s="642" t="s">
        <v>899</v>
      </c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647"/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7"/>
      <c r="Z6" s="647"/>
      <c r="AA6" s="367"/>
      <c r="AB6" s="367"/>
      <c r="AC6" s="367"/>
      <c r="AD6" s="367"/>
    </row>
    <row r="7" spans="1:30" x14ac:dyDescent="0.25">
      <c r="A7" s="53" t="s">
        <v>658</v>
      </c>
      <c r="B7" s="239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8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188"/>
      <c r="AB7" s="109"/>
      <c r="AC7" s="40"/>
      <c r="AD7" s="188"/>
    </row>
    <row r="8" spans="1:30" x14ac:dyDescent="0.25">
      <c r="A8" s="644" t="s">
        <v>659</v>
      </c>
      <c r="B8" s="169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40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5"/>
      <c r="AB8" s="716"/>
      <c r="AC8" s="40"/>
      <c r="AD8" s="322"/>
    </row>
    <row r="9" spans="1:30" x14ac:dyDescent="0.25">
      <c r="A9" s="432" t="s">
        <v>660</v>
      </c>
      <c r="B9" s="54" t="s">
        <v>6</v>
      </c>
      <c r="C9" s="52">
        <v>1420056</v>
      </c>
      <c r="D9" s="720"/>
      <c r="E9" s="720">
        <v>146510</v>
      </c>
      <c r="F9" s="720"/>
      <c r="G9" s="720"/>
      <c r="H9" s="720"/>
      <c r="I9" s="720"/>
      <c r="J9" s="241">
        <f>SUM(C9:I9)</f>
        <v>1566566</v>
      </c>
      <c r="K9" s="241">
        <f>J9/12*9</f>
        <v>1174924.5</v>
      </c>
      <c r="L9" s="241">
        <f>J9/12</f>
        <v>130547.16666666667</v>
      </c>
      <c r="M9" s="40">
        <f t="shared" ref="M9" si="0">K9+L9</f>
        <v>1305471.6666666667</v>
      </c>
      <c r="N9" s="266">
        <v>115182</v>
      </c>
      <c r="O9" s="266">
        <v>115182</v>
      </c>
      <c r="P9" s="266">
        <v>115182</v>
      </c>
      <c r="Q9" s="266">
        <v>127806</v>
      </c>
      <c r="R9" s="266">
        <v>118338</v>
      </c>
      <c r="S9" s="266">
        <v>118338</v>
      </c>
      <c r="T9" s="266">
        <v>118338</v>
      </c>
      <c r="U9" s="266">
        <v>118338</v>
      </c>
      <c r="V9" s="266">
        <v>118338</v>
      </c>
      <c r="W9" s="266">
        <v>118338</v>
      </c>
      <c r="X9" s="266"/>
      <c r="Y9" s="266"/>
      <c r="Z9" s="266">
        <f>N9+O9+P9+Q9+R9+S9+T9+U9+V9</f>
        <v>1065042</v>
      </c>
      <c r="AA9" s="265">
        <f>W9</f>
        <v>118338</v>
      </c>
      <c r="AB9" s="716">
        <f>Z9+AA9</f>
        <v>1183380</v>
      </c>
      <c r="AC9" s="40">
        <f>M9-AB9</f>
        <v>122091.66666666674</v>
      </c>
      <c r="AD9" s="322">
        <f>J9-AB9</f>
        <v>383186</v>
      </c>
    </row>
    <row r="10" spans="1:30" x14ac:dyDescent="0.25">
      <c r="A10" s="644" t="s">
        <v>661</v>
      </c>
      <c r="B10" s="54"/>
      <c r="C10" s="52"/>
      <c r="D10" s="720"/>
      <c r="E10" s="720"/>
      <c r="F10" s="720"/>
      <c r="G10" s="720"/>
      <c r="H10" s="720"/>
      <c r="I10" s="720"/>
      <c r="J10" s="241">
        <f t="shared" ref="J10:J29" si="1">SUM(C10:I10)</f>
        <v>0</v>
      </c>
      <c r="K10" s="241">
        <f t="shared" ref="K10:K29" si="2">J10/12*9</f>
        <v>0</v>
      </c>
      <c r="L10" s="241">
        <f t="shared" ref="L10:L28" si="3">J10/12</f>
        <v>0</v>
      </c>
      <c r="M10" s="989">
        <f t="shared" ref="M10:M28" si="4">K10+L10</f>
        <v>0</v>
      </c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>
        <f t="shared" ref="Z10:Z29" si="5">N10+O10+P10+Q10+R10+S10+T10+U10+V10</f>
        <v>0</v>
      </c>
      <c r="AA10" s="997">
        <f t="shared" ref="AA10:AA29" si="6">W10</f>
        <v>0</v>
      </c>
      <c r="AB10" s="989">
        <f t="shared" ref="AB10:AB29" si="7">Z10+AA10</f>
        <v>0</v>
      </c>
      <c r="AC10" s="989">
        <f t="shared" ref="AC10:AC29" si="8">M10-AB10</f>
        <v>0</v>
      </c>
      <c r="AD10" s="996">
        <f t="shared" ref="AD10:AD29" si="9">J10-AB10</f>
        <v>0</v>
      </c>
    </row>
    <row r="11" spans="1:30" x14ac:dyDescent="0.25">
      <c r="A11" s="432" t="s">
        <v>662</v>
      </c>
      <c r="B11" s="50" t="s">
        <v>11</v>
      </c>
      <c r="C11" s="52">
        <v>96000</v>
      </c>
      <c r="D11" s="720"/>
      <c r="E11" s="720">
        <v>10000</v>
      </c>
      <c r="F11" s="720"/>
      <c r="G11" s="720"/>
      <c r="H11" s="720"/>
      <c r="I11" s="720"/>
      <c r="J11" s="241">
        <f t="shared" si="1"/>
        <v>106000</v>
      </c>
      <c r="K11" s="241">
        <f t="shared" si="2"/>
        <v>79500</v>
      </c>
      <c r="L11" s="241">
        <f t="shared" si="3"/>
        <v>8833.3333333333339</v>
      </c>
      <c r="M11" s="989">
        <f t="shared" si="4"/>
        <v>88333.333333333328</v>
      </c>
      <c r="N11" s="266">
        <v>8000</v>
      </c>
      <c r="O11" s="266">
        <v>8000</v>
      </c>
      <c r="P11" s="266">
        <v>8000</v>
      </c>
      <c r="Q11" s="266">
        <v>8000</v>
      </c>
      <c r="R11" s="266">
        <v>8000</v>
      </c>
      <c r="S11" s="266">
        <v>8000</v>
      </c>
      <c r="T11" s="266">
        <v>8000</v>
      </c>
      <c r="U11" s="266">
        <v>8000</v>
      </c>
      <c r="V11" s="266">
        <v>8000</v>
      </c>
      <c r="W11" s="266">
        <v>8000</v>
      </c>
      <c r="X11" s="266"/>
      <c r="Y11" s="266"/>
      <c r="Z11" s="266">
        <f t="shared" si="5"/>
        <v>72000</v>
      </c>
      <c r="AA11" s="997">
        <f t="shared" si="6"/>
        <v>8000</v>
      </c>
      <c r="AB11" s="989">
        <f t="shared" si="7"/>
        <v>80000</v>
      </c>
      <c r="AC11" s="989">
        <f t="shared" si="8"/>
        <v>8333.3333333333285</v>
      </c>
      <c r="AD11" s="996">
        <f t="shared" si="9"/>
        <v>26000</v>
      </c>
    </row>
    <row r="12" spans="1:30" x14ac:dyDescent="0.25">
      <c r="A12" s="432" t="s">
        <v>663</v>
      </c>
      <c r="B12" s="54" t="s">
        <v>13</v>
      </c>
      <c r="C12" s="52">
        <v>72000</v>
      </c>
      <c r="D12" s="720"/>
      <c r="E12" s="720"/>
      <c r="F12" s="720"/>
      <c r="G12" s="720"/>
      <c r="H12" s="720"/>
      <c r="I12" s="720"/>
      <c r="J12" s="241">
        <f t="shared" si="1"/>
        <v>72000</v>
      </c>
      <c r="K12" s="241">
        <f t="shared" si="2"/>
        <v>54000</v>
      </c>
      <c r="L12" s="241">
        <f t="shared" si="3"/>
        <v>6000</v>
      </c>
      <c r="M12" s="989">
        <f t="shared" si="4"/>
        <v>60000</v>
      </c>
      <c r="N12" s="266">
        <v>6000</v>
      </c>
      <c r="O12" s="266">
        <v>6000</v>
      </c>
      <c r="P12" s="266">
        <v>6000</v>
      </c>
      <c r="Q12" s="266">
        <v>6000</v>
      </c>
      <c r="R12" s="266">
        <v>6000</v>
      </c>
      <c r="S12" s="266">
        <v>6000</v>
      </c>
      <c r="T12" s="266">
        <v>6000</v>
      </c>
      <c r="U12" s="266">
        <v>6000</v>
      </c>
      <c r="V12" s="266">
        <v>6000</v>
      </c>
      <c r="W12" s="266">
        <v>6000</v>
      </c>
      <c r="X12" s="266"/>
      <c r="Y12" s="266"/>
      <c r="Z12" s="266">
        <f t="shared" si="5"/>
        <v>54000</v>
      </c>
      <c r="AA12" s="997">
        <f t="shared" si="6"/>
        <v>6000</v>
      </c>
      <c r="AB12" s="989">
        <f t="shared" si="7"/>
        <v>60000</v>
      </c>
      <c r="AC12" s="989">
        <f t="shared" si="8"/>
        <v>0</v>
      </c>
      <c r="AD12" s="996">
        <f t="shared" si="9"/>
        <v>12000</v>
      </c>
    </row>
    <row r="13" spans="1:30" x14ac:dyDescent="0.25">
      <c r="A13" s="432" t="s">
        <v>664</v>
      </c>
      <c r="B13" s="114" t="s">
        <v>15</v>
      </c>
      <c r="C13" s="52">
        <v>72000</v>
      </c>
      <c r="D13" s="720"/>
      <c r="E13" s="720"/>
      <c r="F13" s="720"/>
      <c r="G13" s="720"/>
      <c r="H13" s="720"/>
      <c r="I13" s="720"/>
      <c r="J13" s="241">
        <f t="shared" si="1"/>
        <v>72000</v>
      </c>
      <c r="K13" s="241">
        <f t="shared" si="2"/>
        <v>54000</v>
      </c>
      <c r="L13" s="241">
        <f t="shared" si="3"/>
        <v>6000</v>
      </c>
      <c r="M13" s="989">
        <f t="shared" si="4"/>
        <v>60000</v>
      </c>
      <c r="N13" s="266">
        <v>6000</v>
      </c>
      <c r="O13" s="266">
        <v>6000</v>
      </c>
      <c r="P13" s="266">
        <v>6000</v>
      </c>
      <c r="Q13" s="266">
        <v>6000</v>
      </c>
      <c r="R13" s="266">
        <v>6000</v>
      </c>
      <c r="S13" s="266">
        <v>6000</v>
      </c>
      <c r="T13" s="266">
        <v>6000</v>
      </c>
      <c r="U13" s="266">
        <v>6000</v>
      </c>
      <c r="V13" s="266">
        <v>6000</v>
      </c>
      <c r="W13" s="266">
        <v>6000</v>
      </c>
      <c r="X13" s="266"/>
      <c r="Y13" s="266"/>
      <c r="Z13" s="266">
        <f t="shared" si="5"/>
        <v>54000</v>
      </c>
      <c r="AA13" s="997">
        <f t="shared" si="6"/>
        <v>6000</v>
      </c>
      <c r="AB13" s="989">
        <f t="shared" si="7"/>
        <v>60000</v>
      </c>
      <c r="AC13" s="989">
        <f t="shared" si="8"/>
        <v>0</v>
      </c>
      <c r="AD13" s="996">
        <f t="shared" si="9"/>
        <v>12000</v>
      </c>
    </row>
    <row r="14" spans="1:30" x14ac:dyDescent="0.25">
      <c r="A14" s="432" t="s">
        <v>665</v>
      </c>
      <c r="B14" s="50" t="s">
        <v>17</v>
      </c>
      <c r="C14" s="52">
        <v>24000</v>
      </c>
      <c r="D14" s="720"/>
      <c r="E14" s="720"/>
      <c r="F14" s="720"/>
      <c r="G14" s="720"/>
      <c r="H14" s="720"/>
      <c r="I14" s="720"/>
      <c r="J14" s="241">
        <f t="shared" si="1"/>
        <v>24000</v>
      </c>
      <c r="K14" s="241">
        <f>J14/12*11</f>
        <v>22000</v>
      </c>
      <c r="L14" s="241">
        <f t="shared" si="3"/>
        <v>2000</v>
      </c>
      <c r="M14" s="989">
        <f t="shared" si="4"/>
        <v>24000</v>
      </c>
      <c r="N14" s="266">
        <v>16000</v>
      </c>
      <c r="O14" s="266"/>
      <c r="P14" s="266"/>
      <c r="Q14" s="266"/>
      <c r="S14" s="266"/>
      <c r="T14" s="266"/>
      <c r="U14" s="266"/>
      <c r="V14" s="266"/>
      <c r="W14" s="1294">
        <v>3300</v>
      </c>
      <c r="X14" s="266"/>
      <c r="Y14" s="266"/>
      <c r="Z14" s="266">
        <f t="shared" si="5"/>
        <v>16000</v>
      </c>
      <c r="AA14" s="997">
        <f t="shared" si="6"/>
        <v>3300</v>
      </c>
      <c r="AB14" s="989">
        <f t="shared" si="7"/>
        <v>19300</v>
      </c>
      <c r="AC14" s="989">
        <f t="shared" si="8"/>
        <v>4700</v>
      </c>
      <c r="AD14" s="996">
        <f t="shared" si="9"/>
        <v>4700</v>
      </c>
    </row>
    <row r="15" spans="1:30" x14ac:dyDescent="0.25">
      <c r="A15" s="432" t="s">
        <v>666</v>
      </c>
      <c r="B15" s="54" t="s">
        <v>21</v>
      </c>
      <c r="C15" s="52"/>
      <c r="D15" s="720"/>
      <c r="E15" s="720"/>
      <c r="F15" s="720"/>
      <c r="G15" s="720"/>
      <c r="H15" s="720"/>
      <c r="I15" s="720"/>
      <c r="J15" s="241">
        <f t="shared" si="1"/>
        <v>0</v>
      </c>
      <c r="K15" s="241">
        <f t="shared" si="2"/>
        <v>0</v>
      </c>
      <c r="L15" s="241">
        <f t="shared" si="3"/>
        <v>0</v>
      </c>
      <c r="M15" s="989">
        <f t="shared" si="4"/>
        <v>0</v>
      </c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>
        <f t="shared" si="5"/>
        <v>0</v>
      </c>
      <c r="AA15" s="997">
        <f t="shared" si="6"/>
        <v>0</v>
      </c>
      <c r="AB15" s="989">
        <f t="shared" si="7"/>
        <v>0</v>
      </c>
      <c r="AC15" s="989">
        <f t="shared" si="8"/>
        <v>0</v>
      </c>
      <c r="AD15" s="996">
        <f t="shared" si="9"/>
        <v>0</v>
      </c>
    </row>
    <row r="16" spans="1:30" x14ac:dyDescent="0.25">
      <c r="A16" s="432" t="s">
        <v>667</v>
      </c>
      <c r="B16" s="54" t="s">
        <v>23</v>
      </c>
      <c r="C16" s="52">
        <v>118338</v>
      </c>
      <c r="D16" s="720"/>
      <c r="E16" s="720">
        <v>29302</v>
      </c>
      <c r="F16" s="720"/>
      <c r="G16" s="720"/>
      <c r="H16" s="720"/>
      <c r="I16" s="720"/>
      <c r="J16" s="241">
        <f t="shared" si="1"/>
        <v>147640</v>
      </c>
      <c r="K16" s="241">
        <f t="shared" si="2"/>
        <v>110730</v>
      </c>
      <c r="L16" s="241">
        <f t="shared" si="3"/>
        <v>12303.333333333334</v>
      </c>
      <c r="M16" s="989">
        <f t="shared" si="4"/>
        <v>123033.33333333333</v>
      </c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>
        <f t="shared" si="5"/>
        <v>0</v>
      </c>
      <c r="AA16" s="997">
        <f t="shared" si="6"/>
        <v>0</v>
      </c>
      <c r="AB16" s="989">
        <f t="shared" si="7"/>
        <v>0</v>
      </c>
      <c r="AC16" s="989">
        <f t="shared" si="8"/>
        <v>123033.33333333333</v>
      </c>
      <c r="AD16" s="996">
        <f t="shared" si="9"/>
        <v>147640</v>
      </c>
    </row>
    <row r="17" spans="1:30" x14ac:dyDescent="0.25">
      <c r="A17" s="432" t="s">
        <v>668</v>
      </c>
      <c r="B17" s="54" t="s">
        <v>26</v>
      </c>
      <c r="C17" s="52">
        <v>20000</v>
      </c>
      <c r="D17" s="720"/>
      <c r="E17" s="720">
        <v>5000</v>
      </c>
      <c r="F17" s="720"/>
      <c r="G17" s="720"/>
      <c r="H17" s="720"/>
      <c r="I17" s="720"/>
      <c r="J17" s="241">
        <f t="shared" si="1"/>
        <v>25000</v>
      </c>
      <c r="K17" s="241">
        <f t="shared" si="2"/>
        <v>18750</v>
      </c>
      <c r="L17" s="241">
        <f t="shared" si="3"/>
        <v>2083.3333333333335</v>
      </c>
      <c r="M17" s="989">
        <f t="shared" si="4"/>
        <v>20833.333333333332</v>
      </c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>
        <f t="shared" si="5"/>
        <v>0</v>
      </c>
      <c r="AA17" s="997">
        <f t="shared" si="6"/>
        <v>0</v>
      </c>
      <c r="AB17" s="989">
        <f t="shared" si="7"/>
        <v>0</v>
      </c>
      <c r="AC17" s="989">
        <f t="shared" si="8"/>
        <v>20833.333333333332</v>
      </c>
      <c r="AD17" s="996">
        <f t="shared" si="9"/>
        <v>25000</v>
      </c>
    </row>
    <row r="18" spans="1:30" x14ac:dyDescent="0.25">
      <c r="A18" s="432" t="s">
        <v>669</v>
      </c>
      <c r="B18" s="54" t="s">
        <v>27</v>
      </c>
      <c r="C18" s="52"/>
      <c r="D18" s="720"/>
      <c r="E18" s="720"/>
      <c r="F18" s="720"/>
      <c r="G18" s="720"/>
      <c r="H18" s="720"/>
      <c r="I18" s="720"/>
      <c r="J18" s="241">
        <f t="shared" si="1"/>
        <v>0</v>
      </c>
      <c r="K18" s="241">
        <f t="shared" si="2"/>
        <v>0</v>
      </c>
      <c r="L18" s="241">
        <f t="shared" si="3"/>
        <v>0</v>
      </c>
      <c r="M18" s="989">
        <f t="shared" si="4"/>
        <v>0</v>
      </c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>
        <f t="shared" si="5"/>
        <v>0</v>
      </c>
      <c r="AA18" s="997">
        <f t="shared" si="6"/>
        <v>0</v>
      </c>
      <c r="AB18" s="989">
        <f t="shared" si="7"/>
        <v>0</v>
      </c>
      <c r="AC18" s="989">
        <f t="shared" si="8"/>
        <v>0</v>
      </c>
      <c r="AD18" s="996">
        <f t="shared" si="9"/>
        <v>0</v>
      </c>
    </row>
    <row r="19" spans="1:30" x14ac:dyDescent="0.25">
      <c r="A19" s="281" t="s">
        <v>670</v>
      </c>
      <c r="B19" s="54"/>
      <c r="C19" s="52">
        <v>118338</v>
      </c>
      <c r="D19" s="720"/>
      <c r="E19" s="720"/>
      <c r="F19" s="720"/>
      <c r="G19" s="720"/>
      <c r="H19" s="720"/>
      <c r="I19" s="720"/>
      <c r="J19" s="241">
        <f t="shared" si="1"/>
        <v>118338</v>
      </c>
      <c r="K19" s="241">
        <f t="shared" si="2"/>
        <v>88753.5</v>
      </c>
      <c r="L19" s="241">
        <f t="shared" si="3"/>
        <v>9861.5</v>
      </c>
      <c r="M19" s="989">
        <f t="shared" si="4"/>
        <v>98615</v>
      </c>
      <c r="N19" s="266"/>
      <c r="O19" s="266"/>
      <c r="P19" s="266"/>
      <c r="Q19" s="266"/>
      <c r="R19" s="266">
        <v>118338</v>
      </c>
      <c r="S19" s="266"/>
      <c r="T19" s="266"/>
      <c r="U19" s="266"/>
      <c r="V19" s="266"/>
      <c r="W19" s="266"/>
      <c r="X19" s="266"/>
      <c r="Y19" s="266"/>
      <c r="Z19" s="266">
        <f t="shared" si="5"/>
        <v>118338</v>
      </c>
      <c r="AA19" s="997">
        <f t="shared" si="6"/>
        <v>0</v>
      </c>
      <c r="AB19" s="989">
        <f t="shared" si="7"/>
        <v>118338</v>
      </c>
      <c r="AC19" s="989">
        <f t="shared" si="8"/>
        <v>-19723</v>
      </c>
      <c r="AD19" s="996">
        <f t="shared" si="9"/>
        <v>0</v>
      </c>
    </row>
    <row r="20" spans="1:30" x14ac:dyDescent="0.25">
      <c r="A20" s="281" t="s">
        <v>898</v>
      </c>
      <c r="B20" s="50"/>
      <c r="C20" s="52">
        <v>20000</v>
      </c>
      <c r="D20" s="720"/>
      <c r="E20" s="720">
        <v>5000</v>
      </c>
      <c r="F20" s="720"/>
      <c r="G20" s="720"/>
      <c r="H20" s="720"/>
      <c r="I20" s="720"/>
      <c r="J20" s="241">
        <f t="shared" si="1"/>
        <v>25000</v>
      </c>
      <c r="K20" s="241">
        <f t="shared" si="2"/>
        <v>18750</v>
      </c>
      <c r="L20" s="241">
        <f t="shared" si="3"/>
        <v>2083.3333333333335</v>
      </c>
      <c r="M20" s="989">
        <f t="shared" si="4"/>
        <v>20833.333333333332</v>
      </c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>
        <f t="shared" si="5"/>
        <v>0</v>
      </c>
      <c r="AA20" s="997">
        <f t="shared" si="6"/>
        <v>0</v>
      </c>
      <c r="AB20" s="989">
        <f t="shared" si="7"/>
        <v>0</v>
      </c>
      <c r="AC20" s="989">
        <f t="shared" si="8"/>
        <v>20833.333333333332</v>
      </c>
      <c r="AD20" s="996">
        <f t="shared" si="9"/>
        <v>25000</v>
      </c>
    </row>
    <row r="21" spans="1:30" x14ac:dyDescent="0.25">
      <c r="A21" s="281" t="s">
        <v>725</v>
      </c>
      <c r="B21" s="54"/>
      <c r="C21" s="52"/>
      <c r="D21" s="720"/>
      <c r="E21" s="720"/>
      <c r="F21" s="720"/>
      <c r="G21" s="720"/>
      <c r="H21" s="720"/>
      <c r="I21" s="720"/>
      <c r="J21" s="241">
        <f t="shared" si="1"/>
        <v>0</v>
      </c>
      <c r="K21" s="241">
        <f t="shared" si="2"/>
        <v>0</v>
      </c>
      <c r="L21" s="241">
        <f t="shared" si="3"/>
        <v>0</v>
      </c>
      <c r="M21" s="989">
        <f t="shared" si="4"/>
        <v>0</v>
      </c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>
        <f t="shared" si="5"/>
        <v>0</v>
      </c>
      <c r="AA21" s="997">
        <f t="shared" si="6"/>
        <v>0</v>
      </c>
      <c r="AB21" s="989">
        <f t="shared" si="7"/>
        <v>0</v>
      </c>
      <c r="AC21" s="989">
        <f t="shared" si="8"/>
        <v>0</v>
      </c>
      <c r="AD21" s="996">
        <f t="shared" si="9"/>
        <v>0</v>
      </c>
    </row>
    <row r="22" spans="1:30" x14ac:dyDescent="0.25">
      <c r="A22" s="281" t="s">
        <v>673</v>
      </c>
      <c r="B22" s="54"/>
      <c r="C22" s="52"/>
      <c r="D22" s="720"/>
      <c r="E22" s="720"/>
      <c r="F22" s="720"/>
      <c r="G22" s="720"/>
      <c r="H22" s="720"/>
      <c r="I22" s="720"/>
      <c r="J22" s="241">
        <f t="shared" si="1"/>
        <v>0</v>
      </c>
      <c r="K22" s="241">
        <f t="shared" si="2"/>
        <v>0</v>
      </c>
      <c r="L22" s="241">
        <f t="shared" si="3"/>
        <v>0</v>
      </c>
      <c r="M22" s="989">
        <f t="shared" si="4"/>
        <v>0</v>
      </c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>
        <f t="shared" si="5"/>
        <v>0</v>
      </c>
      <c r="AA22" s="997">
        <f t="shared" si="6"/>
        <v>0</v>
      </c>
      <c r="AB22" s="989">
        <f t="shared" si="7"/>
        <v>0</v>
      </c>
      <c r="AC22" s="989">
        <f t="shared" si="8"/>
        <v>0</v>
      </c>
      <c r="AD22" s="996">
        <f t="shared" si="9"/>
        <v>0</v>
      </c>
    </row>
    <row r="23" spans="1:30" x14ac:dyDescent="0.25">
      <c r="A23" s="281" t="s">
        <v>674</v>
      </c>
      <c r="B23" s="54"/>
      <c r="C23" s="52"/>
      <c r="D23" s="720"/>
      <c r="E23" s="720"/>
      <c r="F23" s="720"/>
      <c r="G23" s="720"/>
      <c r="H23" s="720"/>
      <c r="I23" s="720"/>
      <c r="J23" s="241">
        <f t="shared" si="1"/>
        <v>0</v>
      </c>
      <c r="K23" s="241">
        <f t="shared" si="2"/>
        <v>0</v>
      </c>
      <c r="L23" s="241">
        <f t="shared" si="3"/>
        <v>0</v>
      </c>
      <c r="M23" s="989">
        <f t="shared" si="4"/>
        <v>0</v>
      </c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>
        <f t="shared" si="5"/>
        <v>0</v>
      </c>
      <c r="AA23" s="997">
        <f t="shared" si="6"/>
        <v>0</v>
      </c>
      <c r="AB23" s="989">
        <f t="shared" si="7"/>
        <v>0</v>
      </c>
      <c r="AC23" s="989">
        <f t="shared" si="8"/>
        <v>0</v>
      </c>
      <c r="AD23" s="996">
        <f t="shared" si="9"/>
        <v>0</v>
      </c>
    </row>
    <row r="24" spans="1:30" x14ac:dyDescent="0.25">
      <c r="A24" s="629" t="s">
        <v>370</v>
      </c>
      <c r="B24" s="54"/>
      <c r="C24" s="78"/>
      <c r="D24" s="726"/>
      <c r="E24" s="726"/>
      <c r="F24" s="726"/>
      <c r="G24" s="726"/>
      <c r="H24" s="726"/>
      <c r="I24" s="726"/>
      <c r="J24" s="241">
        <f t="shared" si="1"/>
        <v>0</v>
      </c>
      <c r="K24" s="241">
        <f t="shared" si="2"/>
        <v>0</v>
      </c>
      <c r="L24" s="241">
        <f t="shared" si="3"/>
        <v>0</v>
      </c>
      <c r="M24" s="989">
        <f t="shared" si="4"/>
        <v>0</v>
      </c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>
        <f t="shared" si="5"/>
        <v>0</v>
      </c>
      <c r="AA24" s="997">
        <f t="shared" si="6"/>
        <v>0</v>
      </c>
      <c r="AB24" s="989">
        <f t="shared" si="7"/>
        <v>0</v>
      </c>
      <c r="AC24" s="989">
        <f t="shared" si="8"/>
        <v>0</v>
      </c>
      <c r="AD24" s="996">
        <f t="shared" si="9"/>
        <v>0</v>
      </c>
    </row>
    <row r="25" spans="1:30" x14ac:dyDescent="0.25">
      <c r="A25" s="432" t="s">
        <v>675</v>
      </c>
      <c r="B25" s="54" t="s">
        <v>29</v>
      </c>
      <c r="C25" s="52">
        <v>170406.72</v>
      </c>
      <c r="D25" s="720"/>
      <c r="E25" s="720">
        <v>17581.2</v>
      </c>
      <c r="F25" s="720"/>
      <c r="G25" s="720"/>
      <c r="H25" s="720"/>
      <c r="I25" s="720"/>
      <c r="J25" s="241">
        <f t="shared" si="1"/>
        <v>187987.92</v>
      </c>
      <c r="K25" s="241">
        <f t="shared" si="2"/>
        <v>140990.94</v>
      </c>
      <c r="L25" s="241">
        <f t="shared" si="3"/>
        <v>15665.660000000002</v>
      </c>
      <c r="M25" s="989">
        <f t="shared" si="4"/>
        <v>156656.6</v>
      </c>
      <c r="N25" s="776">
        <v>13821.84</v>
      </c>
      <c r="O25" s="776">
        <v>13821.84</v>
      </c>
      <c r="P25" s="1085">
        <v>13821.84</v>
      </c>
      <c r="Q25" s="266">
        <v>15336.72</v>
      </c>
      <c r="R25" s="1193">
        <v>14200.56</v>
      </c>
      <c r="S25" s="1193">
        <v>14200.56</v>
      </c>
      <c r="T25" s="1193">
        <v>14200.56</v>
      </c>
      <c r="U25" s="1258">
        <v>14200.56</v>
      </c>
      <c r="V25" s="1258">
        <v>14200.56</v>
      </c>
      <c r="W25" s="1258">
        <v>14200.56</v>
      </c>
      <c r="X25" s="266"/>
      <c r="Y25" s="266"/>
      <c r="Z25" s="266">
        <f t="shared" si="5"/>
        <v>127805.04</v>
      </c>
      <c r="AA25" s="997">
        <f t="shared" si="6"/>
        <v>14200.56</v>
      </c>
      <c r="AB25" s="989">
        <f t="shared" si="7"/>
        <v>142005.6</v>
      </c>
      <c r="AC25" s="989">
        <f t="shared" si="8"/>
        <v>14651</v>
      </c>
      <c r="AD25" s="996">
        <f t="shared" si="9"/>
        <v>45982.320000000007</v>
      </c>
    </row>
    <row r="26" spans="1:30" x14ac:dyDescent="0.25">
      <c r="A26" s="432" t="s">
        <v>676</v>
      </c>
      <c r="B26" s="54" t="s">
        <v>31</v>
      </c>
      <c r="C26" s="52">
        <v>28401.119999999999</v>
      </c>
      <c r="D26" s="720"/>
      <c r="E26" s="720">
        <v>2930.2</v>
      </c>
      <c r="F26" s="720"/>
      <c r="G26" s="720"/>
      <c r="H26" s="720"/>
      <c r="I26" s="720"/>
      <c r="J26" s="241">
        <f t="shared" si="1"/>
        <v>31331.32</v>
      </c>
      <c r="K26" s="241">
        <f t="shared" si="2"/>
        <v>23498.489999999998</v>
      </c>
      <c r="L26" s="241">
        <f t="shared" si="3"/>
        <v>2610.9433333333332</v>
      </c>
      <c r="M26" s="989">
        <f t="shared" si="4"/>
        <v>26109.433333333331</v>
      </c>
      <c r="N26" s="776">
        <v>2303.64</v>
      </c>
      <c r="O26" s="776">
        <v>2303.64</v>
      </c>
      <c r="P26" s="1085">
        <v>2303.64</v>
      </c>
      <c r="Q26" s="266">
        <v>2556.12</v>
      </c>
      <c r="R26" s="1193">
        <v>2366.7600000000002</v>
      </c>
      <c r="S26" s="1193">
        <v>2366.7600000000002</v>
      </c>
      <c r="T26" s="1193">
        <v>2366.7600000000002</v>
      </c>
      <c r="U26" s="1258">
        <v>2366.7600000000002</v>
      </c>
      <c r="V26" s="1258">
        <v>2366.7600000000002</v>
      </c>
      <c r="W26" s="1258">
        <v>2366.7600000000002</v>
      </c>
      <c r="X26" s="266"/>
      <c r="Y26" s="266"/>
      <c r="Z26" s="266">
        <f t="shared" si="5"/>
        <v>21300.840000000004</v>
      </c>
      <c r="AA26" s="997">
        <f t="shared" si="6"/>
        <v>2366.7600000000002</v>
      </c>
      <c r="AB26" s="989">
        <f t="shared" si="7"/>
        <v>23667.600000000006</v>
      </c>
      <c r="AC26" s="989">
        <f t="shared" si="8"/>
        <v>2441.8333333333248</v>
      </c>
      <c r="AD26" s="996">
        <f t="shared" si="9"/>
        <v>7663.7199999999939</v>
      </c>
    </row>
    <row r="27" spans="1:30" x14ac:dyDescent="0.25">
      <c r="A27" s="432" t="s">
        <v>677</v>
      </c>
      <c r="B27" s="54" t="s">
        <v>33</v>
      </c>
      <c r="C27" s="52">
        <v>23229.360000000001</v>
      </c>
      <c r="D27" s="720"/>
      <c r="E27" s="720">
        <v>2563.9299999999998</v>
      </c>
      <c r="F27" s="720"/>
      <c r="G27" s="720"/>
      <c r="H27" s="720"/>
      <c r="I27" s="720"/>
      <c r="J27" s="241">
        <f t="shared" si="1"/>
        <v>25793.29</v>
      </c>
      <c r="K27" s="241">
        <f t="shared" si="2"/>
        <v>19344.967500000002</v>
      </c>
      <c r="L27" s="241">
        <f t="shared" si="3"/>
        <v>2149.4408333333336</v>
      </c>
      <c r="M27" s="989">
        <f t="shared" si="4"/>
        <v>21494.408333333336</v>
      </c>
      <c r="N27" s="776">
        <v>1484.34</v>
      </c>
      <c r="O27" s="776">
        <v>1484.34</v>
      </c>
      <c r="P27" s="1085">
        <v>1484</v>
      </c>
      <c r="Q27" s="266">
        <v>1509.25</v>
      </c>
      <c r="R27" s="1193">
        <v>1509.25</v>
      </c>
      <c r="S27" s="1193">
        <v>1509.25</v>
      </c>
      <c r="T27" s="1193">
        <v>1509.25</v>
      </c>
      <c r="U27" s="1258">
        <v>1509.25</v>
      </c>
      <c r="V27" s="1258">
        <v>1509.25</v>
      </c>
      <c r="W27" s="1258">
        <v>1509.25</v>
      </c>
      <c r="X27" s="266"/>
      <c r="Y27" s="266"/>
      <c r="Z27" s="266">
        <f t="shared" si="5"/>
        <v>13508.18</v>
      </c>
      <c r="AA27" s="997">
        <f t="shared" si="6"/>
        <v>1509.25</v>
      </c>
      <c r="AB27" s="989">
        <f t="shared" si="7"/>
        <v>15017.43</v>
      </c>
      <c r="AC27" s="989">
        <f t="shared" si="8"/>
        <v>6476.9783333333362</v>
      </c>
      <c r="AD27" s="996">
        <f t="shared" si="9"/>
        <v>10775.86</v>
      </c>
    </row>
    <row r="28" spans="1:30" x14ac:dyDescent="0.25">
      <c r="A28" s="432" t="s">
        <v>678</v>
      </c>
      <c r="B28" s="54" t="s">
        <v>35</v>
      </c>
      <c r="C28" s="52">
        <v>4800</v>
      </c>
      <c r="D28" s="720"/>
      <c r="E28" s="720">
        <v>500</v>
      </c>
      <c r="F28" s="720"/>
      <c r="G28" s="720"/>
      <c r="H28" s="720"/>
      <c r="I28" s="720"/>
      <c r="J28" s="241">
        <f t="shared" si="1"/>
        <v>5300</v>
      </c>
      <c r="K28" s="241">
        <f t="shared" si="2"/>
        <v>3975</v>
      </c>
      <c r="L28" s="241">
        <f t="shared" si="3"/>
        <v>441.66666666666669</v>
      </c>
      <c r="M28" s="989">
        <f t="shared" si="4"/>
        <v>4416.666666666667</v>
      </c>
      <c r="N28" s="776">
        <v>400</v>
      </c>
      <c r="O28" s="776">
        <v>400</v>
      </c>
      <c r="P28" s="1085">
        <v>400</v>
      </c>
      <c r="Q28" s="266">
        <v>400</v>
      </c>
      <c r="R28" s="1193">
        <v>400</v>
      </c>
      <c r="S28" s="1193">
        <v>400</v>
      </c>
      <c r="T28" s="1193">
        <v>400</v>
      </c>
      <c r="U28" s="1258">
        <v>400</v>
      </c>
      <c r="V28" s="1258">
        <v>400</v>
      </c>
      <c r="W28" s="1258">
        <v>400</v>
      </c>
      <c r="X28" s="266"/>
      <c r="Y28" s="266"/>
      <c r="Z28" s="266">
        <f t="shared" si="5"/>
        <v>3600</v>
      </c>
      <c r="AA28" s="997">
        <f t="shared" si="6"/>
        <v>400</v>
      </c>
      <c r="AB28" s="989">
        <f t="shared" si="7"/>
        <v>4000</v>
      </c>
      <c r="AC28" s="989">
        <f t="shared" si="8"/>
        <v>416.66666666666697</v>
      </c>
      <c r="AD28" s="996">
        <f t="shared" si="9"/>
        <v>1300</v>
      </c>
    </row>
    <row r="29" spans="1:30" x14ac:dyDescent="0.25">
      <c r="A29" s="49"/>
      <c r="B29" s="169"/>
      <c r="C29" s="241"/>
      <c r="D29" s="241"/>
      <c r="E29" s="241"/>
      <c r="F29" s="241"/>
      <c r="G29" s="241"/>
      <c r="H29" s="241"/>
      <c r="I29" s="241"/>
      <c r="J29" s="241">
        <f t="shared" si="1"/>
        <v>0</v>
      </c>
      <c r="K29" s="241">
        <f t="shared" si="2"/>
        <v>0</v>
      </c>
      <c r="L29" s="241">
        <f t="shared" ref="L29" si="10">J29/12</f>
        <v>0</v>
      </c>
      <c r="M29" s="40">
        <f t="shared" ref="M29" si="11">K29+L29</f>
        <v>0</v>
      </c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>
        <f t="shared" si="5"/>
        <v>0</v>
      </c>
      <c r="AA29" s="997">
        <f t="shared" si="6"/>
        <v>0</v>
      </c>
      <c r="AB29" s="989">
        <f t="shared" si="7"/>
        <v>0</v>
      </c>
      <c r="AC29" s="989">
        <f t="shared" si="8"/>
        <v>0</v>
      </c>
      <c r="AD29" s="996">
        <f t="shared" si="9"/>
        <v>0</v>
      </c>
    </row>
    <row r="30" spans="1:30" x14ac:dyDescent="0.25">
      <c r="A30" s="242" t="s">
        <v>40</v>
      </c>
      <c r="B30" s="239"/>
      <c r="C30" s="648">
        <f>SUM(C8:C29)</f>
        <v>2187569.2000000002</v>
      </c>
      <c r="D30" s="648"/>
      <c r="E30" s="648">
        <f>SUM(E8:E29)</f>
        <v>219387.33000000002</v>
      </c>
      <c r="F30" s="648">
        <f t="shared" ref="F30:AD30" si="12">SUM(F8:F29)</f>
        <v>0</v>
      </c>
      <c r="G30" s="648">
        <f t="shared" si="12"/>
        <v>0</v>
      </c>
      <c r="H30" s="648">
        <f t="shared" si="12"/>
        <v>0</v>
      </c>
      <c r="I30" s="648">
        <f t="shared" si="12"/>
        <v>0</v>
      </c>
      <c r="J30" s="648">
        <f t="shared" si="12"/>
        <v>2406956.5299999998</v>
      </c>
      <c r="K30" s="648">
        <f t="shared" si="12"/>
        <v>1809217.3975</v>
      </c>
      <c r="L30" s="648">
        <f t="shared" si="12"/>
        <v>200579.71083333335</v>
      </c>
      <c r="M30" s="648">
        <f t="shared" si="12"/>
        <v>2009797.1083333334</v>
      </c>
      <c r="N30" s="648">
        <f t="shared" si="12"/>
        <v>169191.82</v>
      </c>
      <c r="O30" s="648">
        <f t="shared" si="12"/>
        <v>153191.82</v>
      </c>
      <c r="P30" s="648">
        <f t="shared" si="12"/>
        <v>153191.48000000001</v>
      </c>
      <c r="Q30" s="648">
        <f t="shared" si="12"/>
        <v>167608.09</v>
      </c>
      <c r="R30" s="648">
        <f t="shared" si="12"/>
        <v>275152.57</v>
      </c>
      <c r="S30" s="648">
        <f t="shared" si="12"/>
        <v>156814.57</v>
      </c>
      <c r="T30" s="648">
        <f t="shared" si="12"/>
        <v>156814.57</v>
      </c>
      <c r="U30" s="648">
        <f t="shared" si="12"/>
        <v>156814.57</v>
      </c>
      <c r="V30" s="648">
        <f t="shared" si="12"/>
        <v>156814.57</v>
      </c>
      <c r="W30" s="648">
        <f t="shared" si="12"/>
        <v>160114.57</v>
      </c>
      <c r="X30" s="648">
        <f t="shared" si="12"/>
        <v>0</v>
      </c>
      <c r="Y30" s="648">
        <f t="shared" si="12"/>
        <v>0</v>
      </c>
      <c r="Z30" s="648">
        <f>SUM(Z8:Z29)</f>
        <v>1545594.06</v>
      </c>
      <c r="AA30" s="648">
        <f t="shared" si="12"/>
        <v>160114.57</v>
      </c>
      <c r="AB30" s="648">
        <f t="shared" si="12"/>
        <v>1705708.6300000001</v>
      </c>
      <c r="AC30" s="648">
        <f t="shared" si="12"/>
        <v>304088.47833333333</v>
      </c>
      <c r="AD30" s="648">
        <f t="shared" si="12"/>
        <v>701247.9</v>
      </c>
    </row>
    <row r="31" spans="1:30" x14ac:dyDescent="0.25">
      <c r="A31" s="53" t="s">
        <v>900</v>
      </c>
      <c r="B31" s="239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123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266">
        <f t="shared" ref="Z31:Z46" si="13">N31+O31+P31+Q31+R31+S31+T31+U31+V31</f>
        <v>0</v>
      </c>
      <c r="AA31" s="997">
        <f t="shared" ref="AA31:AA46" si="14">W31</f>
        <v>0</v>
      </c>
      <c r="AB31" s="123"/>
      <c r="AC31" s="123"/>
      <c r="AD31" s="188"/>
    </row>
    <row r="32" spans="1:30" x14ac:dyDescent="0.25">
      <c r="A32" s="645" t="s">
        <v>139</v>
      </c>
      <c r="B32" s="54" t="s">
        <v>43</v>
      </c>
      <c r="C32" s="52">
        <v>100000</v>
      </c>
      <c r="D32" s="720"/>
      <c r="E32" s="720"/>
      <c r="F32" s="720"/>
      <c r="G32" s="720"/>
      <c r="H32" s="720"/>
      <c r="I32" s="720"/>
      <c r="J32" s="241">
        <f t="shared" ref="J32:J46" si="15">SUM(C32:I32)</f>
        <v>100000</v>
      </c>
      <c r="K32" s="241">
        <f t="shared" ref="K32:K46" si="16">J32/12*9</f>
        <v>75000</v>
      </c>
      <c r="L32" s="241">
        <f t="shared" ref="L32:L46" si="17">J32/12</f>
        <v>8333.3333333333339</v>
      </c>
      <c r="M32" s="40">
        <f t="shared" ref="M32:M46" si="18">K32+L32</f>
        <v>83333.333333333328</v>
      </c>
      <c r="N32" s="266"/>
      <c r="O32" s="266"/>
      <c r="P32" s="266"/>
      <c r="Q32" s="266"/>
      <c r="R32" s="266"/>
      <c r="S32" s="266"/>
      <c r="T32" s="1247">
        <v>0</v>
      </c>
      <c r="U32" s="266">
        <v>1340</v>
      </c>
      <c r="V32" s="266"/>
      <c r="W32" s="266"/>
      <c r="X32" s="266"/>
      <c r="Y32" s="266"/>
      <c r="Z32" s="266">
        <f t="shared" si="13"/>
        <v>1340</v>
      </c>
      <c r="AA32" s="997">
        <f t="shared" si="14"/>
        <v>0</v>
      </c>
      <c r="AB32" s="109">
        <f t="shared" ref="AB32" si="19">Z32+AA32</f>
        <v>1340</v>
      </c>
      <c r="AC32" s="989">
        <f t="shared" ref="AC32:AC46" si="20">M32-AB32</f>
        <v>81993.333333333328</v>
      </c>
      <c r="AD32" s="996">
        <f t="shared" ref="AD32:AD46" si="21">J32-AB32</f>
        <v>98660</v>
      </c>
    </row>
    <row r="33" spans="1:30" x14ac:dyDescent="0.25">
      <c r="A33" s="645" t="s">
        <v>44</v>
      </c>
      <c r="B33" s="50" t="s">
        <v>140</v>
      </c>
      <c r="C33" s="52">
        <v>50000</v>
      </c>
      <c r="D33" s="720"/>
      <c r="E33" s="720"/>
      <c r="F33" s="720"/>
      <c r="G33" s="720"/>
      <c r="H33" s="720">
        <v>7260</v>
      </c>
      <c r="I33" s="720"/>
      <c r="J33" s="241">
        <f t="shared" si="15"/>
        <v>57260</v>
      </c>
      <c r="K33" s="241">
        <f t="shared" si="16"/>
        <v>42945</v>
      </c>
      <c r="L33" s="241">
        <f t="shared" si="17"/>
        <v>4771.666666666667</v>
      </c>
      <c r="M33" s="40">
        <f t="shared" si="18"/>
        <v>47716.666666666664</v>
      </c>
      <c r="N33" s="266"/>
      <c r="O33" s="266"/>
      <c r="P33" s="266"/>
      <c r="Q33" s="266"/>
      <c r="R33" s="266"/>
      <c r="S33" s="266"/>
      <c r="T33" s="266"/>
      <c r="U33" s="266">
        <v>12320</v>
      </c>
      <c r="V33" s="266">
        <v>5094.5</v>
      </c>
      <c r="W33" s="266"/>
      <c r="X33" s="266"/>
      <c r="Y33" s="266"/>
      <c r="Z33" s="266">
        <f t="shared" si="13"/>
        <v>17414.5</v>
      </c>
      <c r="AA33" s="997">
        <f t="shared" si="14"/>
        <v>0</v>
      </c>
      <c r="AB33" s="716">
        <f t="shared" ref="AB33:AB46" si="22">Z33+AA33</f>
        <v>17414.5</v>
      </c>
      <c r="AC33" s="989">
        <f t="shared" si="20"/>
        <v>30302.166666666664</v>
      </c>
      <c r="AD33" s="996">
        <f t="shared" si="21"/>
        <v>39845.5</v>
      </c>
    </row>
    <row r="34" spans="1:30" x14ac:dyDescent="0.25">
      <c r="A34" s="645" t="s">
        <v>256</v>
      </c>
      <c r="B34" s="54" t="s">
        <v>51</v>
      </c>
      <c r="C34" s="52">
        <v>80000</v>
      </c>
      <c r="D34" s="720"/>
      <c r="E34" s="720"/>
      <c r="F34" s="720"/>
      <c r="G34" s="720"/>
      <c r="H34" s="720"/>
      <c r="I34" s="720"/>
      <c r="J34" s="241">
        <f t="shared" si="15"/>
        <v>80000</v>
      </c>
      <c r="K34" s="241">
        <f t="shared" si="16"/>
        <v>60000</v>
      </c>
      <c r="L34" s="241">
        <f t="shared" si="17"/>
        <v>6666.666666666667</v>
      </c>
      <c r="M34" s="40">
        <f t="shared" si="18"/>
        <v>66666.666666666672</v>
      </c>
      <c r="N34" s="266"/>
      <c r="O34" s="266"/>
      <c r="P34" s="266">
        <v>17736</v>
      </c>
      <c r="Q34" s="266"/>
      <c r="R34" s="266">
        <v>760</v>
      </c>
      <c r="S34" s="266">
        <f>750+1875+7098+1544</f>
        <v>11267</v>
      </c>
      <c r="T34" s="266">
        <f>1955+3700</f>
        <v>5655</v>
      </c>
      <c r="U34" s="266">
        <v>3910</v>
      </c>
      <c r="V34" s="266">
        <f>3700+5854+1000</f>
        <v>10554</v>
      </c>
      <c r="W34" s="266"/>
      <c r="X34" s="266"/>
      <c r="Y34" s="266"/>
      <c r="Z34" s="266">
        <f t="shared" si="13"/>
        <v>49882</v>
      </c>
      <c r="AA34" s="997">
        <f t="shared" si="14"/>
        <v>0</v>
      </c>
      <c r="AB34" s="716">
        <f t="shared" si="22"/>
        <v>49882</v>
      </c>
      <c r="AC34" s="989">
        <f t="shared" si="20"/>
        <v>16784.666666666672</v>
      </c>
      <c r="AD34" s="996">
        <f t="shared" si="21"/>
        <v>30118</v>
      </c>
    </row>
    <row r="35" spans="1:30" x14ac:dyDescent="0.25">
      <c r="A35" s="61" t="s">
        <v>901</v>
      </c>
      <c r="B35" s="54" t="s">
        <v>56</v>
      </c>
      <c r="C35" s="52">
        <v>20000</v>
      </c>
      <c r="D35" s="720"/>
      <c r="E35" s="720"/>
      <c r="F35" s="720"/>
      <c r="G35" s="720"/>
      <c r="H35" s="720"/>
      <c r="I35" s="720"/>
      <c r="J35" s="241">
        <f t="shared" si="15"/>
        <v>20000</v>
      </c>
      <c r="K35" s="241">
        <f t="shared" si="16"/>
        <v>15000</v>
      </c>
      <c r="L35" s="241">
        <f t="shared" si="17"/>
        <v>1666.6666666666667</v>
      </c>
      <c r="M35" s="40">
        <f t="shared" si="18"/>
        <v>16666.666666666668</v>
      </c>
      <c r="N35" s="266"/>
      <c r="O35" s="266"/>
      <c r="P35" s="1086">
        <v>889.47</v>
      </c>
      <c r="Q35" s="266"/>
      <c r="R35" s="266"/>
      <c r="S35" s="266"/>
      <c r="T35" s="266"/>
      <c r="U35" s="266"/>
      <c r="V35" s="266"/>
      <c r="W35" s="266"/>
      <c r="X35" s="266"/>
      <c r="Y35" s="266"/>
      <c r="Z35" s="266">
        <f t="shared" si="13"/>
        <v>889.47</v>
      </c>
      <c r="AA35" s="997">
        <f t="shared" si="14"/>
        <v>0</v>
      </c>
      <c r="AB35" s="716">
        <f t="shared" si="22"/>
        <v>889.47</v>
      </c>
      <c r="AC35" s="989">
        <f t="shared" si="20"/>
        <v>15777.196666666669</v>
      </c>
      <c r="AD35" s="996">
        <f t="shared" si="21"/>
        <v>19110.53</v>
      </c>
    </row>
    <row r="36" spans="1:30" x14ac:dyDescent="0.25">
      <c r="A36" s="645" t="s">
        <v>481</v>
      </c>
      <c r="B36" s="50" t="s">
        <v>60</v>
      </c>
      <c r="C36" s="52">
        <v>50400</v>
      </c>
      <c r="D36" s="720"/>
      <c r="E36" s="720"/>
      <c r="F36" s="720"/>
      <c r="G36" s="720"/>
      <c r="H36" s="720"/>
      <c r="I36" s="720"/>
      <c r="J36" s="241">
        <f t="shared" si="15"/>
        <v>50400</v>
      </c>
      <c r="K36" s="241">
        <f t="shared" si="16"/>
        <v>37800</v>
      </c>
      <c r="L36" s="241">
        <f t="shared" si="17"/>
        <v>4200</v>
      </c>
      <c r="M36" s="40">
        <f t="shared" si="18"/>
        <v>42000</v>
      </c>
      <c r="N36" s="720">
        <v>4201</v>
      </c>
      <c r="O36" s="720">
        <v>4201</v>
      </c>
      <c r="P36" s="78">
        <v>4201</v>
      </c>
      <c r="Q36" s="78">
        <v>4201</v>
      </c>
      <c r="R36" s="78">
        <v>4201</v>
      </c>
      <c r="S36" s="78">
        <v>4201</v>
      </c>
      <c r="T36" s="78">
        <v>4201</v>
      </c>
      <c r="U36" s="78">
        <v>4201</v>
      </c>
      <c r="V36" s="78">
        <v>3798.19</v>
      </c>
      <c r="W36" s="78">
        <f>2306.21+1000</f>
        <v>3306.21</v>
      </c>
      <c r="X36" s="78"/>
      <c r="Y36" s="78"/>
      <c r="Z36" s="266">
        <f t="shared" si="13"/>
        <v>37406.19</v>
      </c>
      <c r="AA36" s="997">
        <f t="shared" si="14"/>
        <v>3306.21</v>
      </c>
      <c r="AB36" s="716">
        <f t="shared" si="22"/>
        <v>40712.400000000001</v>
      </c>
      <c r="AC36" s="989">
        <f t="shared" si="20"/>
        <v>1287.5999999999985</v>
      </c>
      <c r="AD36" s="996">
        <f t="shared" si="21"/>
        <v>9687.5999999999985</v>
      </c>
    </row>
    <row r="37" spans="1:30" x14ac:dyDescent="0.25">
      <c r="A37" s="61" t="s">
        <v>61</v>
      </c>
      <c r="B37" s="50" t="s">
        <v>62</v>
      </c>
      <c r="C37" s="52">
        <v>37192.5</v>
      </c>
      <c r="D37" s="720"/>
      <c r="E37" s="720"/>
      <c r="F37" s="720"/>
      <c r="G37" s="720"/>
      <c r="H37" s="720"/>
      <c r="I37" s="720"/>
      <c r="J37" s="241">
        <f t="shared" si="15"/>
        <v>37192.5</v>
      </c>
      <c r="K37" s="241">
        <f t="shared" si="16"/>
        <v>27894.375</v>
      </c>
      <c r="L37" s="241">
        <f t="shared" si="17"/>
        <v>3099.375</v>
      </c>
      <c r="M37" s="40">
        <f t="shared" si="18"/>
        <v>30993.75</v>
      </c>
      <c r="N37" s="266">
        <v>1799</v>
      </c>
      <c r="O37" s="266">
        <v>1799</v>
      </c>
      <c r="P37" s="266">
        <v>1799</v>
      </c>
      <c r="Q37" s="266">
        <v>1799</v>
      </c>
      <c r="R37" s="266">
        <v>1799</v>
      </c>
      <c r="S37" s="266">
        <v>1799</v>
      </c>
      <c r="T37" s="266">
        <v>4597.01</v>
      </c>
      <c r="U37" s="266">
        <v>3198</v>
      </c>
      <c r="V37" s="266">
        <v>1530.27</v>
      </c>
      <c r="W37" s="266">
        <v>2940.17</v>
      </c>
      <c r="X37" s="266"/>
      <c r="Y37" s="266"/>
      <c r="Z37" s="266">
        <f t="shared" si="13"/>
        <v>20119.280000000002</v>
      </c>
      <c r="AA37" s="997">
        <f t="shared" si="14"/>
        <v>2940.17</v>
      </c>
      <c r="AB37" s="716">
        <f t="shared" si="22"/>
        <v>23059.450000000004</v>
      </c>
      <c r="AC37" s="989">
        <f t="shared" si="20"/>
        <v>7934.2999999999956</v>
      </c>
      <c r="AD37" s="996">
        <f t="shared" si="21"/>
        <v>14133.049999999996</v>
      </c>
    </row>
    <row r="38" spans="1:30" x14ac:dyDescent="0.25">
      <c r="A38" s="645" t="s">
        <v>69</v>
      </c>
      <c r="B38" s="54" t="s">
        <v>70</v>
      </c>
      <c r="C38" s="52">
        <v>1410800</v>
      </c>
      <c r="D38" s="720"/>
      <c r="E38" s="720"/>
      <c r="F38" s="720"/>
      <c r="G38" s="720"/>
      <c r="H38" s="720"/>
      <c r="I38" s="720"/>
      <c r="J38" s="241">
        <f t="shared" si="15"/>
        <v>1410800</v>
      </c>
      <c r="K38" s="241">
        <f t="shared" si="16"/>
        <v>1058100</v>
      </c>
      <c r="L38" s="241">
        <f t="shared" si="17"/>
        <v>117566.66666666667</v>
      </c>
      <c r="M38" s="40">
        <f t="shared" si="18"/>
        <v>1175666.6666666667</v>
      </c>
      <c r="N38" s="266">
        <v>48740</v>
      </c>
      <c r="O38" s="266">
        <v>76600</v>
      </c>
      <c r="P38" s="266">
        <v>79220.850000000006</v>
      </c>
      <c r="Q38" s="266">
        <v>87563.65</v>
      </c>
      <c r="R38" s="266">
        <v>103600</v>
      </c>
      <c r="S38" s="266">
        <v>101358.19</v>
      </c>
      <c r="T38" s="266">
        <v>65300</v>
      </c>
      <c r="U38" s="266">
        <v>93000</v>
      </c>
      <c r="V38" s="266">
        <v>104000</v>
      </c>
      <c r="W38" s="266">
        <v>98600</v>
      </c>
      <c r="X38" s="266"/>
      <c r="Y38" s="266"/>
      <c r="Z38" s="266">
        <f t="shared" si="13"/>
        <v>759382.69</v>
      </c>
      <c r="AA38" s="997">
        <f t="shared" si="14"/>
        <v>98600</v>
      </c>
      <c r="AB38" s="716">
        <f t="shared" si="22"/>
        <v>857982.69</v>
      </c>
      <c r="AC38" s="989">
        <f t="shared" si="20"/>
        <v>317683.9766666668</v>
      </c>
      <c r="AD38" s="996">
        <f t="shared" si="21"/>
        <v>552817.31000000006</v>
      </c>
    </row>
    <row r="39" spans="1:30" x14ac:dyDescent="0.25">
      <c r="A39" s="61" t="s">
        <v>721</v>
      </c>
      <c r="B39" s="50" t="s">
        <v>76</v>
      </c>
      <c r="C39" s="52"/>
      <c r="D39" s="720"/>
      <c r="E39" s="720"/>
      <c r="F39" s="720"/>
      <c r="G39" s="720"/>
      <c r="H39" s="720"/>
      <c r="I39" s="720"/>
      <c r="J39" s="241">
        <f t="shared" si="15"/>
        <v>0</v>
      </c>
      <c r="K39" s="241">
        <f t="shared" si="16"/>
        <v>0</v>
      </c>
      <c r="L39" s="241">
        <f t="shared" si="17"/>
        <v>0</v>
      </c>
      <c r="M39" s="40">
        <f t="shared" si="18"/>
        <v>0</v>
      </c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>
        <f t="shared" si="13"/>
        <v>0</v>
      </c>
      <c r="AA39" s="997">
        <f t="shared" si="14"/>
        <v>0</v>
      </c>
      <c r="AB39" s="716">
        <f t="shared" si="22"/>
        <v>0</v>
      </c>
      <c r="AC39" s="989">
        <f t="shared" si="20"/>
        <v>0</v>
      </c>
      <c r="AD39" s="996">
        <f t="shared" si="21"/>
        <v>0</v>
      </c>
    </row>
    <row r="40" spans="1:30" x14ac:dyDescent="0.25">
      <c r="A40" s="276" t="s">
        <v>110</v>
      </c>
      <c r="B40" s="50"/>
      <c r="C40" s="52">
        <v>20000</v>
      </c>
      <c r="D40" s="720"/>
      <c r="E40" s="720"/>
      <c r="F40" s="720"/>
      <c r="G40" s="720"/>
      <c r="H40" s="720"/>
      <c r="I40" s="720"/>
      <c r="J40" s="241">
        <f t="shared" si="15"/>
        <v>20000</v>
      </c>
      <c r="K40" s="241">
        <f t="shared" si="16"/>
        <v>15000</v>
      </c>
      <c r="L40" s="241">
        <f t="shared" si="17"/>
        <v>1666.6666666666667</v>
      </c>
      <c r="M40" s="40">
        <f t="shared" si="18"/>
        <v>16666.666666666668</v>
      </c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>
        <f t="shared" si="13"/>
        <v>0</v>
      </c>
      <c r="AA40" s="997">
        <f t="shared" si="14"/>
        <v>0</v>
      </c>
      <c r="AB40" s="716">
        <f t="shared" si="22"/>
        <v>0</v>
      </c>
      <c r="AC40" s="989">
        <f t="shared" si="20"/>
        <v>16666.666666666668</v>
      </c>
      <c r="AD40" s="996">
        <f t="shared" si="21"/>
        <v>20000</v>
      </c>
    </row>
    <row r="41" spans="1:30" x14ac:dyDescent="0.25">
      <c r="A41" s="276" t="s">
        <v>390</v>
      </c>
      <c r="B41" s="50"/>
      <c r="C41" s="52">
        <v>19500</v>
      </c>
      <c r="D41" s="720"/>
      <c r="E41" s="720"/>
      <c r="F41" s="720"/>
      <c r="G41" s="720"/>
      <c r="H41" s="720"/>
      <c r="I41" s="720"/>
      <c r="J41" s="241">
        <f t="shared" si="15"/>
        <v>19500</v>
      </c>
      <c r="K41" s="241">
        <f t="shared" si="16"/>
        <v>14625</v>
      </c>
      <c r="L41" s="241">
        <f t="shared" si="17"/>
        <v>1625</v>
      </c>
      <c r="M41" s="40">
        <f t="shared" si="18"/>
        <v>16250</v>
      </c>
      <c r="N41" s="266"/>
      <c r="O41" s="266"/>
      <c r="P41" s="266"/>
      <c r="Q41" s="266"/>
      <c r="R41" s="266"/>
      <c r="S41" s="266"/>
      <c r="T41" s="266">
        <f>3700+300</f>
        <v>4000</v>
      </c>
      <c r="U41" s="266"/>
      <c r="V41" s="266"/>
      <c r="W41" s="266"/>
      <c r="X41" s="266"/>
      <c r="Y41" s="266"/>
      <c r="Z41" s="266">
        <f t="shared" si="13"/>
        <v>4000</v>
      </c>
      <c r="AA41" s="997">
        <f t="shared" si="14"/>
        <v>0</v>
      </c>
      <c r="AB41" s="716">
        <f t="shared" si="22"/>
        <v>4000</v>
      </c>
      <c r="AC41" s="989">
        <f t="shared" si="20"/>
        <v>12250</v>
      </c>
      <c r="AD41" s="996">
        <f t="shared" si="21"/>
        <v>15500</v>
      </c>
    </row>
    <row r="42" spans="1:30" x14ac:dyDescent="0.25">
      <c r="A42" s="60" t="s">
        <v>902</v>
      </c>
      <c r="B42" s="646" t="s">
        <v>79</v>
      </c>
      <c r="C42" s="52"/>
      <c r="D42" s="720"/>
      <c r="E42" s="720"/>
      <c r="F42" s="720"/>
      <c r="G42" s="720"/>
      <c r="H42" s="720"/>
      <c r="I42" s="720"/>
      <c r="J42" s="241">
        <f t="shared" si="15"/>
        <v>0</v>
      </c>
      <c r="K42" s="241">
        <f t="shared" si="16"/>
        <v>0</v>
      </c>
      <c r="L42" s="241">
        <f t="shared" si="17"/>
        <v>0</v>
      </c>
      <c r="M42" s="40">
        <f t="shared" si="18"/>
        <v>0</v>
      </c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>
        <f t="shared" si="13"/>
        <v>0</v>
      </c>
      <c r="AA42" s="997">
        <f t="shared" si="14"/>
        <v>0</v>
      </c>
      <c r="AB42" s="716">
        <f t="shared" si="22"/>
        <v>0</v>
      </c>
      <c r="AC42" s="989">
        <f t="shared" si="20"/>
        <v>0</v>
      </c>
      <c r="AD42" s="996">
        <f t="shared" si="21"/>
        <v>0</v>
      </c>
    </row>
    <row r="43" spans="1:30" x14ac:dyDescent="0.25">
      <c r="A43" s="276" t="s">
        <v>903</v>
      </c>
      <c r="B43" s="646"/>
      <c r="C43" s="52">
        <v>10000</v>
      </c>
      <c r="D43" s="720"/>
      <c r="E43" s="720"/>
      <c r="F43" s="720"/>
      <c r="G43" s="720"/>
      <c r="H43" s="720"/>
      <c r="I43" s="720"/>
      <c r="J43" s="241">
        <f t="shared" si="15"/>
        <v>10000</v>
      </c>
      <c r="K43" s="241">
        <f t="shared" si="16"/>
        <v>7500</v>
      </c>
      <c r="L43" s="241">
        <f t="shared" si="17"/>
        <v>833.33333333333337</v>
      </c>
      <c r="M43" s="40">
        <f t="shared" si="18"/>
        <v>8333.3333333333339</v>
      </c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266">
        <f t="shared" si="13"/>
        <v>0</v>
      </c>
      <c r="AA43" s="997">
        <f t="shared" si="14"/>
        <v>0</v>
      </c>
      <c r="AB43" s="716">
        <f t="shared" si="22"/>
        <v>0</v>
      </c>
      <c r="AC43" s="989">
        <f t="shared" si="20"/>
        <v>8333.3333333333339</v>
      </c>
      <c r="AD43" s="996">
        <f t="shared" si="21"/>
        <v>10000</v>
      </c>
    </row>
    <row r="44" spans="1:30" s="987" customFormat="1" ht="26.25" x14ac:dyDescent="0.25">
      <c r="A44" s="366" t="s">
        <v>1248</v>
      </c>
      <c r="B44" s="646" t="s">
        <v>1348</v>
      </c>
      <c r="C44" s="720"/>
      <c r="D44" s="720"/>
      <c r="E44" s="720"/>
      <c r="F44" s="720"/>
      <c r="G44" s="720">
        <v>75000</v>
      </c>
      <c r="H44" s="720"/>
      <c r="I44" s="720"/>
      <c r="J44" s="241">
        <f t="shared" si="15"/>
        <v>75000</v>
      </c>
      <c r="K44" s="241">
        <f t="shared" si="16"/>
        <v>56250</v>
      </c>
      <c r="L44" s="241"/>
      <c r="M44" s="989"/>
      <c r="N44" s="726"/>
      <c r="O44" s="726"/>
      <c r="P44" s="726"/>
      <c r="Q44" s="726"/>
      <c r="R44" s="726"/>
      <c r="S44" s="726"/>
      <c r="T44" s="726"/>
      <c r="U44" s="726"/>
      <c r="V44" s="726"/>
      <c r="W44" s="726"/>
      <c r="X44" s="726"/>
      <c r="Y44" s="726"/>
      <c r="Z44" s="266">
        <f t="shared" si="13"/>
        <v>0</v>
      </c>
      <c r="AA44" s="997">
        <f t="shared" si="14"/>
        <v>0</v>
      </c>
      <c r="AB44" s="989"/>
      <c r="AC44" s="989">
        <f t="shared" si="20"/>
        <v>0</v>
      </c>
      <c r="AD44" s="996">
        <f t="shared" si="21"/>
        <v>75000</v>
      </c>
    </row>
    <row r="45" spans="1:30" x14ac:dyDescent="0.25">
      <c r="A45" s="645" t="s">
        <v>904</v>
      </c>
      <c r="B45" s="646" t="s">
        <v>83</v>
      </c>
      <c r="C45" s="52">
        <v>2000</v>
      </c>
      <c r="D45" s="720"/>
      <c r="E45" s="720"/>
      <c r="F45" s="720"/>
      <c r="G45" s="720"/>
      <c r="H45" s="720"/>
      <c r="I45" s="720"/>
      <c r="J45" s="241">
        <f t="shared" si="15"/>
        <v>2000</v>
      </c>
      <c r="K45" s="241">
        <f t="shared" si="16"/>
        <v>1500</v>
      </c>
      <c r="L45" s="241">
        <f t="shared" si="17"/>
        <v>166.66666666666666</v>
      </c>
      <c r="M45" s="40">
        <f t="shared" si="18"/>
        <v>1666.6666666666667</v>
      </c>
      <c r="N45" s="78"/>
      <c r="O45" s="78"/>
      <c r="P45" s="78"/>
      <c r="Q45" s="78"/>
      <c r="R45" s="78"/>
      <c r="S45" s="78"/>
      <c r="T45" s="78"/>
      <c r="U45" s="78">
        <v>828.55</v>
      </c>
      <c r="V45" s="78"/>
      <c r="W45" s="78"/>
      <c r="X45" s="78"/>
      <c r="Y45" s="78"/>
      <c r="Z45" s="266">
        <f t="shared" si="13"/>
        <v>828.55</v>
      </c>
      <c r="AA45" s="997">
        <f t="shared" si="14"/>
        <v>0</v>
      </c>
      <c r="AB45" s="109">
        <f t="shared" si="22"/>
        <v>828.55</v>
      </c>
      <c r="AC45" s="989">
        <f t="shared" si="20"/>
        <v>838.11666666666679</v>
      </c>
      <c r="AD45" s="996">
        <f t="shared" si="21"/>
        <v>1171.45</v>
      </c>
    </row>
    <row r="46" spans="1:30" x14ac:dyDescent="0.25">
      <c r="A46" s="645" t="s">
        <v>86</v>
      </c>
      <c r="B46" s="646" t="s">
        <v>87</v>
      </c>
      <c r="C46" s="52">
        <v>10000</v>
      </c>
      <c r="D46" s="720"/>
      <c r="E46" s="720"/>
      <c r="F46" s="720"/>
      <c r="G46" s="720"/>
      <c r="H46" s="720"/>
      <c r="I46" s="720"/>
      <c r="J46" s="241">
        <f t="shared" si="15"/>
        <v>10000</v>
      </c>
      <c r="K46" s="241">
        <f t="shared" si="16"/>
        <v>7500</v>
      </c>
      <c r="L46" s="241">
        <f t="shared" si="17"/>
        <v>833.33333333333337</v>
      </c>
      <c r="M46" s="40">
        <f t="shared" si="18"/>
        <v>8333.3333333333339</v>
      </c>
      <c r="N46" s="109"/>
      <c r="O46" s="109"/>
      <c r="P46" s="109"/>
      <c r="Q46" s="109"/>
      <c r="R46" s="109">
        <v>800</v>
      </c>
      <c r="S46" s="109"/>
      <c r="T46" s="989">
        <v>120</v>
      </c>
      <c r="U46" s="109"/>
      <c r="V46" s="109"/>
      <c r="W46" s="109"/>
      <c r="X46" s="109"/>
      <c r="Y46" s="109"/>
      <c r="Z46" s="266">
        <f t="shared" si="13"/>
        <v>920</v>
      </c>
      <c r="AA46" s="997">
        <f t="shared" si="14"/>
        <v>0</v>
      </c>
      <c r="AB46" s="989">
        <f t="shared" si="22"/>
        <v>920</v>
      </c>
      <c r="AC46" s="989">
        <f t="shared" si="20"/>
        <v>7413.3333333333339</v>
      </c>
      <c r="AD46" s="996">
        <f t="shared" si="21"/>
        <v>9080</v>
      </c>
    </row>
    <row r="47" spans="1:30" x14ac:dyDescent="0.25">
      <c r="A47" s="244" t="s">
        <v>108</v>
      </c>
      <c r="B47" s="239"/>
      <c r="C47" s="648">
        <f>SUM(C32:C46)</f>
        <v>1809892.5</v>
      </c>
      <c r="D47" s="648"/>
      <c r="E47" s="648">
        <f>SUM(E32:E46)</f>
        <v>0</v>
      </c>
      <c r="F47" s="648">
        <f t="shared" ref="F47:AD47" si="23">SUM(F32:F46)</f>
        <v>0</v>
      </c>
      <c r="G47" s="648">
        <f t="shared" si="23"/>
        <v>75000</v>
      </c>
      <c r="H47" s="648">
        <f t="shared" si="23"/>
        <v>7260</v>
      </c>
      <c r="I47" s="648">
        <f t="shared" si="23"/>
        <v>0</v>
      </c>
      <c r="J47" s="648">
        <f t="shared" si="23"/>
        <v>1892152.5</v>
      </c>
      <c r="K47" s="648">
        <f t="shared" si="23"/>
        <v>1419114.375</v>
      </c>
      <c r="L47" s="648">
        <f t="shared" si="23"/>
        <v>151429.375</v>
      </c>
      <c r="M47" s="648">
        <f t="shared" si="23"/>
        <v>1514293.75</v>
      </c>
      <c r="N47" s="648">
        <f t="shared" si="23"/>
        <v>54740</v>
      </c>
      <c r="O47" s="648">
        <f t="shared" si="23"/>
        <v>82600</v>
      </c>
      <c r="P47" s="648">
        <f t="shared" si="23"/>
        <v>103846.32</v>
      </c>
      <c r="Q47" s="648">
        <f t="shared" si="23"/>
        <v>93563.65</v>
      </c>
      <c r="R47" s="648">
        <f t="shared" si="23"/>
        <v>111160</v>
      </c>
      <c r="S47" s="648">
        <f t="shared" si="23"/>
        <v>118625.19</v>
      </c>
      <c r="T47" s="648">
        <f t="shared" si="23"/>
        <v>83873.009999999995</v>
      </c>
      <c r="U47" s="648">
        <f t="shared" si="23"/>
        <v>118797.55</v>
      </c>
      <c r="V47" s="648">
        <f t="shared" si="23"/>
        <v>124976.95999999999</v>
      </c>
      <c r="W47" s="648">
        <f t="shared" si="23"/>
        <v>104846.38</v>
      </c>
      <c r="X47" s="648">
        <f t="shared" si="23"/>
        <v>0</v>
      </c>
      <c r="Y47" s="648">
        <f t="shared" si="23"/>
        <v>0</v>
      </c>
      <c r="Z47" s="648">
        <f t="shared" si="23"/>
        <v>892182.67999999993</v>
      </c>
      <c r="AA47" s="648">
        <f t="shared" si="23"/>
        <v>104846.38</v>
      </c>
      <c r="AB47" s="648">
        <f t="shared" si="23"/>
        <v>997029.06</v>
      </c>
      <c r="AC47" s="648">
        <f t="shared" si="23"/>
        <v>517264.69000000006</v>
      </c>
      <c r="AD47" s="648">
        <f t="shared" si="23"/>
        <v>895123.44</v>
      </c>
    </row>
    <row r="48" spans="1:30" x14ac:dyDescent="0.25">
      <c r="A48" s="240" t="s">
        <v>258</v>
      </c>
      <c r="B48" s="239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04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204"/>
      <c r="AB48" s="204"/>
      <c r="AC48" s="204"/>
      <c r="AD48" s="188"/>
    </row>
    <row r="49" spans="1:32" x14ac:dyDescent="0.25">
      <c r="A49" s="245" t="s">
        <v>259</v>
      </c>
      <c r="B49" s="239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188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188"/>
      <c r="AB49" s="188"/>
      <c r="AC49" s="188"/>
      <c r="AD49" s="188"/>
    </row>
    <row r="50" spans="1:32" x14ac:dyDescent="0.25">
      <c r="A50" s="245" t="s">
        <v>338</v>
      </c>
      <c r="B50" s="239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188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188"/>
      <c r="AB50" s="188"/>
      <c r="AC50" s="188"/>
      <c r="AD50" s="188"/>
    </row>
    <row r="51" spans="1:32" x14ac:dyDescent="0.25">
      <c r="A51" s="948" t="s">
        <v>1144</v>
      </c>
      <c r="B51" s="944"/>
      <c r="C51" s="241"/>
      <c r="D51" s="241"/>
      <c r="E51" s="241"/>
      <c r="F51" s="241"/>
      <c r="G51" s="241"/>
      <c r="H51" s="241"/>
      <c r="I51" s="241"/>
      <c r="J51" s="241"/>
      <c r="K51" s="241"/>
      <c r="L51" s="241">
        <f>J51</f>
        <v>0</v>
      </c>
      <c r="M51" s="40">
        <f t="shared" ref="M51:M68" si="24">J51</f>
        <v>0</v>
      </c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>
        <f t="shared" ref="Z51:Z69" si="25">N51+O51+P51+Q51+R51+S51+T51+U51+V51</f>
        <v>0</v>
      </c>
      <c r="AA51" s="997">
        <f t="shared" ref="AA51:AA69" si="26">W51</f>
        <v>0</v>
      </c>
      <c r="AB51" s="109">
        <f t="shared" ref="AB51:AB66" si="27">Z51+AA51</f>
        <v>0</v>
      </c>
      <c r="AC51" s="989">
        <f t="shared" ref="AC51:AC69" si="28">M51-AB51</f>
        <v>0</v>
      </c>
      <c r="AD51" s="996">
        <f t="shared" ref="AD51:AD68" si="29">J51-AB51</f>
        <v>0</v>
      </c>
    </row>
    <row r="52" spans="1:32" x14ac:dyDescent="0.25">
      <c r="A52" s="947" t="s">
        <v>1145</v>
      </c>
      <c r="B52" s="944" t="s">
        <v>113</v>
      </c>
      <c r="C52" s="241">
        <v>3000</v>
      </c>
      <c r="D52" s="241"/>
      <c r="E52" s="241"/>
      <c r="F52" s="241">
        <f>-3000</f>
        <v>-3000</v>
      </c>
      <c r="G52" s="241"/>
      <c r="H52" s="241"/>
      <c r="I52" s="241"/>
      <c r="J52" s="241">
        <f t="shared" ref="J52:J69" si="30">SUM(C52:I52)</f>
        <v>0</v>
      </c>
      <c r="K52" s="241">
        <f>J52</f>
        <v>0</v>
      </c>
      <c r="L52" s="241">
        <f t="shared" ref="L52:L68" si="31">J52</f>
        <v>0</v>
      </c>
      <c r="M52" s="40">
        <f t="shared" si="24"/>
        <v>0</v>
      </c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>
        <f t="shared" si="25"/>
        <v>0</v>
      </c>
      <c r="AA52" s="997">
        <f t="shared" si="26"/>
        <v>0</v>
      </c>
      <c r="AB52" s="109">
        <f t="shared" si="27"/>
        <v>0</v>
      </c>
      <c r="AC52" s="989">
        <f t="shared" si="28"/>
        <v>0</v>
      </c>
      <c r="AD52" s="996">
        <f t="shared" si="29"/>
        <v>0</v>
      </c>
    </row>
    <row r="53" spans="1:32" x14ac:dyDescent="0.25">
      <c r="A53" s="946" t="s">
        <v>241</v>
      </c>
      <c r="B53" s="944"/>
      <c r="C53" s="241"/>
      <c r="D53" s="241"/>
      <c r="E53" s="241"/>
      <c r="F53" s="241"/>
      <c r="G53" s="241"/>
      <c r="H53" s="241"/>
      <c r="I53" s="241"/>
      <c r="J53" s="241">
        <f t="shared" si="30"/>
        <v>0</v>
      </c>
      <c r="K53" s="241">
        <f t="shared" ref="K53:K69" si="32">J53</f>
        <v>0</v>
      </c>
      <c r="L53" s="241">
        <f t="shared" si="31"/>
        <v>0</v>
      </c>
      <c r="M53" s="40">
        <f t="shared" si="24"/>
        <v>0</v>
      </c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>
        <f t="shared" si="25"/>
        <v>0</v>
      </c>
      <c r="AA53" s="997">
        <f t="shared" si="26"/>
        <v>0</v>
      </c>
      <c r="AB53" s="989">
        <f t="shared" si="27"/>
        <v>0</v>
      </c>
      <c r="AC53" s="989">
        <f t="shared" si="28"/>
        <v>0</v>
      </c>
      <c r="AD53" s="996">
        <f t="shared" si="29"/>
        <v>0</v>
      </c>
    </row>
    <row r="54" spans="1:32" x14ac:dyDescent="0.25">
      <c r="A54" s="945" t="s">
        <v>1146</v>
      </c>
      <c r="B54" s="944" t="s">
        <v>116</v>
      </c>
      <c r="C54" s="241">
        <v>6000</v>
      </c>
      <c r="D54" s="241"/>
      <c r="E54" s="241"/>
      <c r="F54" s="241">
        <f>-6000</f>
        <v>-6000</v>
      </c>
      <c r="G54" s="241"/>
      <c r="H54" s="241"/>
      <c r="I54" s="241"/>
      <c r="J54" s="241">
        <f t="shared" si="30"/>
        <v>0</v>
      </c>
      <c r="K54" s="241">
        <f t="shared" si="32"/>
        <v>0</v>
      </c>
      <c r="L54" s="241">
        <f t="shared" si="31"/>
        <v>0</v>
      </c>
      <c r="M54" s="40">
        <f t="shared" si="24"/>
        <v>0</v>
      </c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>
        <f t="shared" si="25"/>
        <v>0</v>
      </c>
      <c r="AA54" s="997">
        <f t="shared" si="26"/>
        <v>0</v>
      </c>
      <c r="AB54" s="989">
        <f t="shared" si="27"/>
        <v>0</v>
      </c>
      <c r="AC54" s="989">
        <f t="shared" si="28"/>
        <v>0</v>
      </c>
      <c r="AD54" s="996">
        <f t="shared" si="29"/>
        <v>0</v>
      </c>
    </row>
    <row r="55" spans="1:32" x14ac:dyDescent="0.25">
      <c r="A55" s="1163" t="s">
        <v>1313</v>
      </c>
      <c r="B55" s="944" t="s">
        <v>1306</v>
      </c>
      <c r="C55" s="241">
        <v>100000</v>
      </c>
      <c r="D55" s="241"/>
      <c r="E55" s="241"/>
      <c r="F55" s="241"/>
      <c r="G55" s="241"/>
      <c r="H55" s="241"/>
      <c r="I55" s="241">
        <v>0</v>
      </c>
      <c r="J55" s="241">
        <f t="shared" si="30"/>
        <v>100000</v>
      </c>
      <c r="K55" s="241">
        <f t="shared" si="32"/>
        <v>100000</v>
      </c>
      <c r="L55" s="241">
        <f t="shared" si="31"/>
        <v>100000</v>
      </c>
      <c r="M55" s="40">
        <f t="shared" si="24"/>
        <v>100000</v>
      </c>
      <c r="N55" s="266"/>
      <c r="O55" s="266"/>
      <c r="P55" s="266"/>
      <c r="Q55" s="266"/>
      <c r="R55" s="266"/>
      <c r="S55" s="266"/>
      <c r="T55" s="266">
        <v>100000</v>
      </c>
      <c r="U55" s="266"/>
      <c r="V55" s="266"/>
      <c r="W55" s="266"/>
      <c r="X55" s="266"/>
      <c r="Y55" s="266"/>
      <c r="Z55" s="266">
        <f t="shared" si="25"/>
        <v>100000</v>
      </c>
      <c r="AA55" s="997">
        <f t="shared" si="26"/>
        <v>0</v>
      </c>
      <c r="AB55" s="989">
        <f t="shared" si="27"/>
        <v>100000</v>
      </c>
      <c r="AC55" s="989">
        <f t="shared" si="28"/>
        <v>0</v>
      </c>
      <c r="AD55" s="996">
        <f t="shared" si="29"/>
        <v>0</v>
      </c>
      <c r="AF55" s="21" t="s">
        <v>1305</v>
      </c>
    </row>
    <row r="56" spans="1:32" s="712" customFormat="1" x14ac:dyDescent="0.25">
      <c r="A56" s="945" t="s">
        <v>1147</v>
      </c>
      <c r="B56" s="944" t="s">
        <v>1307</v>
      </c>
      <c r="C56" s="241">
        <v>39760</v>
      </c>
      <c r="D56" s="241"/>
      <c r="E56" s="241"/>
      <c r="F56" s="241">
        <f>-39760</f>
        <v>-39760</v>
      </c>
      <c r="G56" s="241"/>
      <c r="H56" s="241"/>
      <c r="I56" s="241"/>
      <c r="J56" s="241">
        <f t="shared" si="30"/>
        <v>0</v>
      </c>
      <c r="K56" s="241">
        <f t="shared" si="32"/>
        <v>0</v>
      </c>
      <c r="L56" s="241">
        <f t="shared" si="31"/>
        <v>0</v>
      </c>
      <c r="M56" s="716">
        <f t="shared" si="24"/>
        <v>0</v>
      </c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>
        <f t="shared" si="25"/>
        <v>0</v>
      </c>
      <c r="AA56" s="997">
        <f t="shared" si="26"/>
        <v>0</v>
      </c>
      <c r="AB56" s="989">
        <f t="shared" ref="AB56:AB60" si="33">Z56+AA56</f>
        <v>0</v>
      </c>
      <c r="AC56" s="989">
        <f t="shared" si="28"/>
        <v>0</v>
      </c>
      <c r="AD56" s="996">
        <f t="shared" si="29"/>
        <v>0</v>
      </c>
    </row>
    <row r="57" spans="1:32" s="712" customFormat="1" x14ac:dyDescent="0.25">
      <c r="A57" s="945" t="s">
        <v>1148</v>
      </c>
      <c r="B57" s="944" t="s">
        <v>1005</v>
      </c>
      <c r="C57" s="241">
        <v>15</v>
      </c>
      <c r="D57" s="241"/>
      <c r="E57" s="241"/>
      <c r="F57" s="241">
        <f>-15</f>
        <v>-15</v>
      </c>
      <c r="G57" s="241"/>
      <c r="H57" s="241"/>
      <c r="I57" s="241"/>
      <c r="J57" s="241">
        <f t="shared" si="30"/>
        <v>0</v>
      </c>
      <c r="K57" s="241">
        <f t="shared" si="32"/>
        <v>0</v>
      </c>
      <c r="L57" s="241">
        <f t="shared" si="31"/>
        <v>0</v>
      </c>
      <c r="M57" s="716">
        <f t="shared" si="24"/>
        <v>0</v>
      </c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X57" s="266"/>
      <c r="Y57" s="266"/>
      <c r="Z57" s="266">
        <f t="shared" si="25"/>
        <v>0</v>
      </c>
      <c r="AA57" s="997">
        <f t="shared" si="26"/>
        <v>0</v>
      </c>
      <c r="AB57" s="989">
        <f t="shared" si="33"/>
        <v>0</v>
      </c>
      <c r="AC57" s="989">
        <f t="shared" si="28"/>
        <v>0</v>
      </c>
      <c r="AD57" s="996">
        <f t="shared" si="29"/>
        <v>0</v>
      </c>
    </row>
    <row r="58" spans="1:32" s="712" customFormat="1" x14ac:dyDescent="0.25">
      <c r="A58" s="945" t="s">
        <v>1149</v>
      </c>
      <c r="B58" s="944"/>
      <c r="C58" s="241">
        <v>950</v>
      </c>
      <c r="D58" s="241"/>
      <c r="E58" s="241"/>
      <c r="F58" s="241">
        <f>-950</f>
        <v>-950</v>
      </c>
      <c r="G58" s="241"/>
      <c r="H58" s="241"/>
      <c r="I58" s="241"/>
      <c r="J58" s="241">
        <f t="shared" si="30"/>
        <v>0</v>
      </c>
      <c r="K58" s="241">
        <f t="shared" si="32"/>
        <v>0</v>
      </c>
      <c r="L58" s="241">
        <f t="shared" si="31"/>
        <v>0</v>
      </c>
      <c r="M58" s="716">
        <f t="shared" si="24"/>
        <v>0</v>
      </c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>
        <f t="shared" si="25"/>
        <v>0</v>
      </c>
      <c r="AA58" s="997">
        <f t="shared" si="26"/>
        <v>0</v>
      </c>
      <c r="AB58" s="989">
        <f t="shared" si="33"/>
        <v>0</v>
      </c>
      <c r="AC58" s="989">
        <f t="shared" si="28"/>
        <v>0</v>
      </c>
      <c r="AD58" s="996">
        <f t="shared" si="29"/>
        <v>0</v>
      </c>
    </row>
    <row r="59" spans="1:32" s="712" customFormat="1" x14ac:dyDescent="0.25">
      <c r="A59" s="945" t="s">
        <v>1150</v>
      </c>
      <c r="B59" s="944"/>
      <c r="C59" s="241">
        <v>452243.98</v>
      </c>
      <c r="D59" s="241"/>
      <c r="E59" s="241"/>
      <c r="F59" s="241"/>
      <c r="G59" s="241"/>
      <c r="H59" s="241"/>
      <c r="I59" s="241"/>
      <c r="J59" s="241">
        <f t="shared" si="30"/>
        <v>452243.98</v>
      </c>
      <c r="K59" s="241">
        <f t="shared" si="32"/>
        <v>452243.98</v>
      </c>
      <c r="L59" s="241">
        <f t="shared" si="31"/>
        <v>452243.98</v>
      </c>
      <c r="M59" s="716">
        <f t="shared" si="24"/>
        <v>452243.98</v>
      </c>
      <c r="N59" s="266"/>
      <c r="O59" s="266"/>
      <c r="P59" s="266"/>
      <c r="Q59" s="266"/>
      <c r="R59" s="266"/>
      <c r="S59" s="266"/>
      <c r="T59" s="266"/>
      <c r="U59" s="266"/>
      <c r="V59" s="266">
        <f>33263.98+418980</f>
        <v>452243.98</v>
      </c>
      <c r="W59" s="266"/>
      <c r="X59" s="266"/>
      <c r="Y59" s="266"/>
      <c r="Z59" s="266">
        <f t="shared" si="25"/>
        <v>452243.98</v>
      </c>
      <c r="AA59" s="997">
        <f t="shared" si="26"/>
        <v>0</v>
      </c>
      <c r="AB59" s="989">
        <f t="shared" si="33"/>
        <v>452243.98</v>
      </c>
      <c r="AC59" s="989">
        <f t="shared" si="28"/>
        <v>0</v>
      </c>
      <c r="AD59" s="996">
        <f t="shared" si="29"/>
        <v>0</v>
      </c>
    </row>
    <row r="60" spans="1:32" x14ac:dyDescent="0.25">
      <c r="A60" s="945" t="s">
        <v>1151</v>
      </c>
      <c r="B60" s="944"/>
      <c r="C60" s="241">
        <v>500</v>
      </c>
      <c r="D60" s="241"/>
      <c r="E60" s="241"/>
      <c r="F60" s="241">
        <f>-500</f>
        <v>-500</v>
      </c>
      <c r="G60" s="241"/>
      <c r="H60" s="241"/>
      <c r="I60" s="241"/>
      <c r="J60" s="241">
        <f t="shared" si="30"/>
        <v>0</v>
      </c>
      <c r="K60" s="241">
        <f t="shared" si="32"/>
        <v>0</v>
      </c>
      <c r="L60" s="241">
        <f t="shared" si="31"/>
        <v>0</v>
      </c>
      <c r="M60" s="40">
        <f t="shared" si="24"/>
        <v>0</v>
      </c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X60" s="266"/>
      <c r="Y60" s="266"/>
      <c r="Z60" s="266">
        <f t="shared" si="25"/>
        <v>0</v>
      </c>
      <c r="AA60" s="997">
        <f t="shared" si="26"/>
        <v>0</v>
      </c>
      <c r="AB60" s="989">
        <f t="shared" si="33"/>
        <v>0</v>
      </c>
      <c r="AC60" s="989">
        <f t="shared" si="28"/>
        <v>0</v>
      </c>
      <c r="AD60" s="996">
        <f t="shared" si="29"/>
        <v>0</v>
      </c>
    </row>
    <row r="61" spans="1:32" x14ac:dyDescent="0.25">
      <c r="A61" s="945" t="s">
        <v>1152</v>
      </c>
      <c r="B61" s="944"/>
      <c r="C61" s="241">
        <v>500</v>
      </c>
      <c r="D61" s="241"/>
      <c r="E61" s="241"/>
      <c r="F61" s="241">
        <f>-500</f>
        <v>-500</v>
      </c>
      <c r="G61" s="241"/>
      <c r="H61" s="241"/>
      <c r="I61" s="241"/>
      <c r="J61" s="241">
        <f t="shared" si="30"/>
        <v>0</v>
      </c>
      <c r="K61" s="241">
        <f t="shared" si="32"/>
        <v>0</v>
      </c>
      <c r="L61" s="241">
        <f t="shared" si="31"/>
        <v>0</v>
      </c>
      <c r="M61" s="40">
        <f t="shared" si="24"/>
        <v>0</v>
      </c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>
        <f t="shared" si="25"/>
        <v>0</v>
      </c>
      <c r="AA61" s="997">
        <f t="shared" si="26"/>
        <v>0</v>
      </c>
      <c r="AB61" s="989">
        <f t="shared" si="27"/>
        <v>0</v>
      </c>
      <c r="AC61" s="989">
        <f t="shared" si="28"/>
        <v>0</v>
      </c>
      <c r="AD61" s="996">
        <f t="shared" si="29"/>
        <v>0</v>
      </c>
    </row>
    <row r="62" spans="1:32" x14ac:dyDescent="0.25">
      <c r="A62" s="945" t="s">
        <v>1153</v>
      </c>
      <c r="B62" s="944"/>
      <c r="C62" s="241">
        <v>500</v>
      </c>
      <c r="D62" s="241"/>
      <c r="E62" s="241"/>
      <c r="F62" s="241">
        <f>-500</f>
        <v>-500</v>
      </c>
      <c r="G62" s="241"/>
      <c r="H62" s="241"/>
      <c r="I62" s="241"/>
      <c r="J62" s="241">
        <f t="shared" si="30"/>
        <v>0</v>
      </c>
      <c r="K62" s="241">
        <f t="shared" si="32"/>
        <v>0</v>
      </c>
      <c r="L62" s="241">
        <f t="shared" si="31"/>
        <v>0</v>
      </c>
      <c r="M62" s="40">
        <f t="shared" si="24"/>
        <v>0</v>
      </c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>
        <f t="shared" si="25"/>
        <v>0</v>
      </c>
      <c r="AA62" s="997">
        <f t="shared" si="26"/>
        <v>0</v>
      </c>
      <c r="AB62" s="989">
        <f t="shared" si="27"/>
        <v>0</v>
      </c>
      <c r="AC62" s="989">
        <f t="shared" si="28"/>
        <v>0</v>
      </c>
      <c r="AD62" s="996">
        <f t="shared" si="29"/>
        <v>0</v>
      </c>
    </row>
    <row r="63" spans="1:32" x14ac:dyDescent="0.25">
      <c r="A63" s="945" t="s">
        <v>1154</v>
      </c>
      <c r="B63" s="944"/>
      <c r="C63" s="241">
        <v>1000000</v>
      </c>
      <c r="D63" s="241"/>
      <c r="E63" s="241"/>
      <c r="F63" s="241"/>
      <c r="G63" s="241"/>
      <c r="H63" s="241"/>
      <c r="I63" s="241"/>
      <c r="J63" s="241">
        <f t="shared" si="30"/>
        <v>1000000</v>
      </c>
      <c r="K63" s="241">
        <f t="shared" si="32"/>
        <v>1000000</v>
      </c>
      <c r="L63" s="241">
        <f t="shared" si="31"/>
        <v>1000000</v>
      </c>
      <c r="M63" s="40">
        <f t="shared" si="24"/>
        <v>1000000</v>
      </c>
      <c r="N63" s="266"/>
      <c r="O63" s="266"/>
      <c r="P63" s="266"/>
      <c r="Q63" s="266">
        <v>740205</v>
      </c>
      <c r="R63" s="1170">
        <v>255400</v>
      </c>
      <c r="S63" s="266"/>
      <c r="T63" s="266"/>
      <c r="U63" s="266"/>
      <c r="V63" s="266"/>
      <c r="W63" s="266"/>
      <c r="X63" s="266"/>
      <c r="Y63" s="266"/>
      <c r="Z63" s="266">
        <f t="shared" si="25"/>
        <v>995605</v>
      </c>
      <c r="AA63" s="997">
        <f t="shared" si="26"/>
        <v>0</v>
      </c>
      <c r="AB63" s="989">
        <f t="shared" si="27"/>
        <v>995605</v>
      </c>
      <c r="AC63" s="989">
        <f t="shared" si="28"/>
        <v>4395</v>
      </c>
      <c r="AD63" s="996">
        <f t="shared" si="29"/>
        <v>4395</v>
      </c>
    </row>
    <row r="64" spans="1:32" x14ac:dyDescent="0.25">
      <c r="A64" s="945" t="s">
        <v>1155</v>
      </c>
      <c r="B64" s="944"/>
      <c r="C64" s="241">
        <v>1000000</v>
      </c>
      <c r="D64" s="241"/>
      <c r="E64" s="241"/>
      <c r="F64" s="241"/>
      <c r="G64" s="241"/>
      <c r="H64" s="241"/>
      <c r="I64" s="241"/>
      <c r="J64" s="241">
        <f t="shared" si="30"/>
        <v>1000000</v>
      </c>
      <c r="K64" s="241">
        <f t="shared" si="32"/>
        <v>1000000</v>
      </c>
      <c r="L64" s="241">
        <f t="shared" si="31"/>
        <v>1000000</v>
      </c>
      <c r="M64" s="40">
        <f t="shared" si="24"/>
        <v>1000000</v>
      </c>
      <c r="N64" s="266"/>
      <c r="O64" s="266"/>
      <c r="P64" s="266"/>
      <c r="Q64" s="266"/>
      <c r="R64" s="266"/>
      <c r="S64" s="266"/>
      <c r="T64" s="266">
        <v>998025</v>
      </c>
      <c r="U64" s="266"/>
      <c r="V64" s="266"/>
      <c r="W64" s="266"/>
      <c r="X64" s="266"/>
      <c r="Y64" s="266"/>
      <c r="Z64" s="266">
        <f t="shared" si="25"/>
        <v>998025</v>
      </c>
      <c r="AA64" s="997">
        <f t="shared" si="26"/>
        <v>0</v>
      </c>
      <c r="AB64" s="989">
        <f t="shared" si="27"/>
        <v>998025</v>
      </c>
      <c r="AC64" s="989">
        <f t="shared" si="28"/>
        <v>1975</v>
      </c>
      <c r="AD64" s="996">
        <f t="shared" si="29"/>
        <v>1975</v>
      </c>
    </row>
    <row r="65" spans="1:30" x14ac:dyDescent="0.25">
      <c r="A65" s="945" t="s">
        <v>1156</v>
      </c>
      <c r="B65" s="944"/>
      <c r="C65" s="241">
        <v>56727.53</v>
      </c>
      <c r="D65" s="241"/>
      <c r="E65" s="241"/>
      <c r="F65" s="241"/>
      <c r="G65" s="241"/>
      <c r="H65" s="241"/>
      <c r="I65" s="241"/>
      <c r="J65" s="241">
        <f t="shared" si="30"/>
        <v>56727.53</v>
      </c>
      <c r="K65" s="241">
        <f t="shared" si="32"/>
        <v>56727.53</v>
      </c>
      <c r="L65" s="241">
        <f t="shared" si="31"/>
        <v>56727.53</v>
      </c>
      <c r="M65" s="40">
        <f t="shared" si="24"/>
        <v>56727.53</v>
      </c>
      <c r="N65" s="266"/>
      <c r="O65" s="266"/>
      <c r="P65" s="266"/>
      <c r="Q65" s="266"/>
      <c r="R65" s="266"/>
      <c r="S65" s="266"/>
      <c r="T65" s="266"/>
      <c r="U65" s="266"/>
      <c r="V65" s="266"/>
      <c r="W65" s="266"/>
      <c r="X65" s="266"/>
      <c r="Y65" s="266"/>
      <c r="Z65" s="266">
        <f t="shared" si="25"/>
        <v>0</v>
      </c>
      <c r="AA65" s="997">
        <f t="shared" si="26"/>
        <v>0</v>
      </c>
      <c r="AB65" s="989">
        <f t="shared" si="27"/>
        <v>0</v>
      </c>
      <c r="AC65" s="989">
        <f t="shared" si="28"/>
        <v>56727.53</v>
      </c>
      <c r="AD65" s="996">
        <f t="shared" si="29"/>
        <v>56727.53</v>
      </c>
    </row>
    <row r="66" spans="1:30" x14ac:dyDescent="0.25">
      <c r="A66" s="945" t="s">
        <v>1157</v>
      </c>
      <c r="B66" s="944"/>
      <c r="C66" s="241">
        <v>300000</v>
      </c>
      <c r="D66" s="241"/>
      <c r="E66" s="241"/>
      <c r="F66" s="241"/>
      <c r="G66" s="241"/>
      <c r="H66" s="241"/>
      <c r="I66" s="241"/>
      <c r="J66" s="241">
        <f t="shared" si="30"/>
        <v>300000</v>
      </c>
      <c r="K66" s="241">
        <f t="shared" si="32"/>
        <v>300000</v>
      </c>
      <c r="L66" s="241">
        <f t="shared" si="31"/>
        <v>300000</v>
      </c>
      <c r="M66" s="40">
        <f t="shared" si="24"/>
        <v>300000</v>
      </c>
      <c r="N66" s="266"/>
      <c r="O66" s="266"/>
      <c r="P66" s="266"/>
      <c r="Q66" s="266"/>
      <c r="R66" s="1169"/>
      <c r="S66" s="266"/>
      <c r="T66" s="266"/>
      <c r="U66" s="266"/>
      <c r="V66" s="266"/>
      <c r="W66" s="266"/>
      <c r="X66" s="266"/>
      <c r="Y66" s="266"/>
      <c r="Z66" s="266">
        <f t="shared" si="25"/>
        <v>0</v>
      </c>
      <c r="AA66" s="997">
        <f t="shared" si="26"/>
        <v>0</v>
      </c>
      <c r="AB66" s="989">
        <f t="shared" si="27"/>
        <v>0</v>
      </c>
      <c r="AC66" s="989">
        <f t="shared" si="28"/>
        <v>300000</v>
      </c>
      <c r="AD66" s="996">
        <f t="shared" si="29"/>
        <v>300000</v>
      </c>
    </row>
    <row r="67" spans="1:30" s="712" customFormat="1" x14ac:dyDescent="0.25">
      <c r="A67" s="949" t="s">
        <v>1158</v>
      </c>
      <c r="B67" s="944"/>
      <c r="C67" s="241">
        <v>20</v>
      </c>
      <c r="D67" s="241"/>
      <c r="E67" s="241"/>
      <c r="F67" s="241">
        <f>-20</f>
        <v>-20</v>
      </c>
      <c r="G67" s="241"/>
      <c r="H67" s="241"/>
      <c r="I67" s="241"/>
      <c r="J67" s="241">
        <f t="shared" si="30"/>
        <v>0</v>
      </c>
      <c r="K67" s="241">
        <f t="shared" si="32"/>
        <v>0</v>
      </c>
      <c r="L67" s="241">
        <f t="shared" si="31"/>
        <v>0</v>
      </c>
      <c r="M67" s="716">
        <f t="shared" si="24"/>
        <v>0</v>
      </c>
      <c r="N67" s="266"/>
      <c r="O67" s="266"/>
      <c r="P67" s="266"/>
      <c r="Q67" s="266"/>
      <c r="R67" s="266"/>
      <c r="S67" s="266"/>
      <c r="T67" s="266"/>
      <c r="U67" s="266"/>
      <c r="V67" s="266"/>
      <c r="W67" s="266"/>
      <c r="X67" s="266"/>
      <c r="Y67" s="266"/>
      <c r="Z67" s="266">
        <f t="shared" si="25"/>
        <v>0</v>
      </c>
      <c r="AA67" s="997">
        <f t="shared" si="26"/>
        <v>0</v>
      </c>
      <c r="AB67" s="989">
        <f t="shared" ref="AB67:AB68" si="34">Z67+AA67</f>
        <v>0</v>
      </c>
      <c r="AC67" s="989">
        <f t="shared" si="28"/>
        <v>0</v>
      </c>
      <c r="AD67" s="996">
        <f t="shared" si="29"/>
        <v>0</v>
      </c>
    </row>
    <row r="68" spans="1:30" s="712" customFormat="1" x14ac:dyDescent="0.25">
      <c r="A68" s="950" t="s">
        <v>1159</v>
      </c>
      <c r="B68" s="944"/>
      <c r="C68" s="241">
        <v>350000</v>
      </c>
      <c r="D68" s="241"/>
      <c r="E68" s="241"/>
      <c r="F68" s="241"/>
      <c r="G68" s="241"/>
      <c r="H68" s="241"/>
      <c r="I68" s="241"/>
      <c r="J68" s="241">
        <f t="shared" si="30"/>
        <v>350000</v>
      </c>
      <c r="K68" s="241">
        <f t="shared" si="32"/>
        <v>350000</v>
      </c>
      <c r="L68" s="241">
        <f t="shared" si="31"/>
        <v>350000</v>
      </c>
      <c r="M68" s="716">
        <f t="shared" si="24"/>
        <v>350000</v>
      </c>
      <c r="N68" s="266"/>
      <c r="O68" s="266"/>
      <c r="P68" s="266">
        <v>246630</v>
      </c>
      <c r="Q68" s="266">
        <v>44000</v>
      </c>
      <c r="R68" s="1170">
        <v>41800</v>
      </c>
      <c r="S68" s="266"/>
      <c r="T68" s="266"/>
      <c r="U68" s="266"/>
      <c r="V68" s="266"/>
      <c r="W68" s="266"/>
      <c r="X68" s="266"/>
      <c r="Y68" s="266"/>
      <c r="Z68" s="266">
        <f t="shared" si="25"/>
        <v>332430</v>
      </c>
      <c r="AA68" s="997">
        <f t="shared" si="26"/>
        <v>0</v>
      </c>
      <c r="AB68" s="989">
        <f t="shared" si="34"/>
        <v>332430</v>
      </c>
      <c r="AC68" s="989">
        <f t="shared" si="28"/>
        <v>17570</v>
      </c>
      <c r="AD68" s="996">
        <f t="shared" si="29"/>
        <v>17570</v>
      </c>
    </row>
    <row r="69" spans="1:30" s="712" customFormat="1" x14ac:dyDescent="0.25">
      <c r="A69" s="945"/>
      <c r="B69" s="944"/>
      <c r="C69" s="241"/>
      <c r="D69" s="241"/>
      <c r="E69" s="241"/>
      <c r="F69" s="241"/>
      <c r="G69" s="241"/>
      <c r="H69" s="241"/>
      <c r="I69" s="241"/>
      <c r="J69" s="241">
        <f t="shared" si="30"/>
        <v>0</v>
      </c>
      <c r="K69" s="241">
        <f t="shared" si="32"/>
        <v>0</v>
      </c>
      <c r="L69" s="241"/>
      <c r="M69" s="716"/>
      <c r="N69" s="266"/>
      <c r="O69" s="266"/>
      <c r="P69" s="266"/>
      <c r="Q69" s="266"/>
      <c r="R69" s="266"/>
      <c r="S69" s="266"/>
      <c r="T69" s="266"/>
      <c r="U69" s="266"/>
      <c r="V69" s="266"/>
      <c r="W69" s="266"/>
      <c r="X69" s="266"/>
      <c r="Y69" s="266"/>
      <c r="Z69" s="266">
        <f t="shared" si="25"/>
        <v>0</v>
      </c>
      <c r="AA69" s="997">
        <f t="shared" si="26"/>
        <v>0</v>
      </c>
      <c r="AB69" s="732"/>
      <c r="AC69" s="989">
        <f t="shared" si="28"/>
        <v>0</v>
      </c>
      <c r="AD69" s="996">
        <f t="shared" ref="AD69" si="35">J69-AB69</f>
        <v>0</v>
      </c>
    </row>
    <row r="70" spans="1:30" x14ac:dyDescent="0.25">
      <c r="A70" s="245" t="s">
        <v>339</v>
      </c>
      <c r="B70" s="239"/>
      <c r="C70" s="648">
        <f t="shared" ref="C70:I70" si="36">SUM(C51:C69)</f>
        <v>3310216.51</v>
      </c>
      <c r="D70" s="648"/>
      <c r="E70" s="648">
        <f t="shared" si="36"/>
        <v>0</v>
      </c>
      <c r="F70" s="648">
        <f t="shared" si="36"/>
        <v>-51245</v>
      </c>
      <c r="G70" s="648">
        <f t="shared" si="36"/>
        <v>0</v>
      </c>
      <c r="H70" s="648">
        <f t="shared" si="36"/>
        <v>0</v>
      </c>
      <c r="I70" s="648">
        <f t="shared" si="36"/>
        <v>0</v>
      </c>
      <c r="J70" s="648">
        <f t="shared" ref="J70:AC70" si="37">SUM(J51:J69)</f>
        <v>3258971.51</v>
      </c>
      <c r="K70" s="648">
        <f t="shared" si="37"/>
        <v>3258971.51</v>
      </c>
      <c r="L70" s="648">
        <f t="shared" si="37"/>
        <v>3258971.51</v>
      </c>
      <c r="M70" s="648">
        <f t="shared" si="37"/>
        <v>3258971.51</v>
      </c>
      <c r="N70" s="648">
        <f t="shared" si="37"/>
        <v>0</v>
      </c>
      <c r="O70" s="648">
        <f t="shared" si="37"/>
        <v>0</v>
      </c>
      <c r="P70" s="648">
        <f t="shared" si="37"/>
        <v>246630</v>
      </c>
      <c r="Q70" s="648">
        <f t="shared" si="37"/>
        <v>784205</v>
      </c>
      <c r="R70" s="648">
        <f t="shared" si="37"/>
        <v>297200</v>
      </c>
      <c r="S70" s="648">
        <f t="shared" si="37"/>
        <v>0</v>
      </c>
      <c r="T70" s="648">
        <f t="shared" si="37"/>
        <v>1098025</v>
      </c>
      <c r="U70" s="648">
        <f t="shared" si="37"/>
        <v>0</v>
      </c>
      <c r="V70" s="648">
        <f t="shared" si="37"/>
        <v>452243.98</v>
      </c>
      <c r="W70" s="648">
        <f t="shared" si="37"/>
        <v>0</v>
      </c>
      <c r="X70" s="648">
        <f t="shared" si="37"/>
        <v>0</v>
      </c>
      <c r="Y70" s="648">
        <f t="shared" si="37"/>
        <v>0</v>
      </c>
      <c r="Z70" s="648">
        <f t="shared" si="37"/>
        <v>2878303.98</v>
      </c>
      <c r="AA70" s="648">
        <f t="shared" si="37"/>
        <v>0</v>
      </c>
      <c r="AB70" s="648">
        <f t="shared" si="37"/>
        <v>2878303.98</v>
      </c>
      <c r="AC70" s="648">
        <f t="shared" si="37"/>
        <v>380667.53</v>
      </c>
      <c r="AD70" s="648">
        <f>SUM(AD51:AD69)</f>
        <v>380667.53</v>
      </c>
    </row>
    <row r="71" spans="1:30" x14ac:dyDescent="0.25">
      <c r="A71" s="238" t="s">
        <v>329</v>
      </c>
      <c r="B71" s="239"/>
      <c r="C71" s="241"/>
      <c r="D71" s="241"/>
      <c r="E71" s="241"/>
      <c r="F71" s="241"/>
      <c r="G71" s="241"/>
      <c r="H71" s="241"/>
      <c r="I71" s="241"/>
      <c r="J71" s="241"/>
      <c r="K71" s="241"/>
      <c r="L71" s="241"/>
      <c r="M71" s="188"/>
      <c r="N71" s="266"/>
      <c r="O71" s="266"/>
      <c r="P71" s="266"/>
      <c r="Q71" s="266"/>
      <c r="R71" s="266"/>
      <c r="S71" s="266"/>
      <c r="T71" s="266"/>
      <c r="U71" s="266"/>
      <c r="V71" s="266"/>
      <c r="W71" s="266"/>
      <c r="X71" s="266"/>
      <c r="Y71" s="266"/>
      <c r="Z71" s="266"/>
      <c r="AA71" s="188"/>
      <c r="AB71" s="188"/>
      <c r="AC71" s="188"/>
      <c r="AD71" s="188"/>
    </row>
    <row r="72" spans="1:30" x14ac:dyDescent="0.25">
      <c r="A72" s="246" t="s">
        <v>110</v>
      </c>
      <c r="B72" s="202" t="s">
        <v>111</v>
      </c>
      <c r="C72" s="241"/>
      <c r="D72" s="241"/>
      <c r="E72" s="241"/>
      <c r="F72" s="241"/>
      <c r="G72" s="241"/>
      <c r="H72" s="241"/>
      <c r="I72" s="241"/>
      <c r="J72" s="241">
        <f t="shared" ref="J72:J121" si="38">SUM(C72:I72)</f>
        <v>0</v>
      </c>
      <c r="K72" s="241"/>
      <c r="L72" s="241"/>
      <c r="M72" s="40"/>
      <c r="N72" s="266"/>
      <c r="O72" s="266"/>
      <c r="P72" s="266"/>
      <c r="Q72" s="266"/>
      <c r="R72" s="266"/>
      <c r="S72" s="266"/>
      <c r="T72" s="266"/>
      <c r="U72" s="266"/>
      <c r="V72" s="266"/>
      <c r="W72" s="266"/>
      <c r="X72" s="266"/>
      <c r="Y72" s="266"/>
      <c r="Z72" s="266"/>
      <c r="AA72" s="188"/>
      <c r="AB72" s="188"/>
      <c r="AC72" s="40"/>
      <c r="AD72" s="188"/>
    </row>
    <row r="73" spans="1:30" x14ac:dyDescent="0.25">
      <c r="A73" s="243" t="s">
        <v>905</v>
      </c>
      <c r="B73" s="202"/>
      <c r="C73" s="241">
        <v>7500</v>
      </c>
      <c r="D73" s="241"/>
      <c r="E73" s="241"/>
      <c r="F73" s="241"/>
      <c r="G73" s="241"/>
      <c r="H73" s="241"/>
      <c r="I73" s="241"/>
      <c r="J73" s="241">
        <f t="shared" si="38"/>
        <v>7500</v>
      </c>
      <c r="K73" s="241">
        <f t="shared" ref="K73:K121" si="39">J73</f>
        <v>7500</v>
      </c>
      <c r="L73" s="241">
        <f>J73</f>
        <v>7500</v>
      </c>
      <c r="M73" s="40">
        <f>J73</f>
        <v>7500</v>
      </c>
      <c r="N73" s="266"/>
      <c r="O73" s="266"/>
      <c r="P73" s="266"/>
      <c r="Q73" s="266"/>
      <c r="R73" s="266"/>
      <c r="S73" s="266">
        <v>7400</v>
      </c>
      <c r="T73" s="266"/>
      <c r="U73" s="266"/>
      <c r="V73" s="266"/>
      <c r="W73" s="266"/>
      <c r="X73" s="266"/>
      <c r="Y73" s="266"/>
      <c r="Z73" s="266">
        <f t="shared" ref="Z73:Z121" si="40">N73+O73+P73+Q73+R73+S73+T73+U73+V73</f>
        <v>7400</v>
      </c>
      <c r="AA73" s="997">
        <f t="shared" ref="AA73:AA121" si="41">W73</f>
        <v>0</v>
      </c>
      <c r="AB73" s="989">
        <f>Z73+AA73</f>
        <v>7400</v>
      </c>
      <c r="AC73" s="989">
        <f t="shared" ref="AC73:AC121" si="42">M73-AB73</f>
        <v>100</v>
      </c>
      <c r="AD73" s="996">
        <f t="shared" ref="AD73:AD121" si="43">J73-AB73</f>
        <v>100</v>
      </c>
    </row>
    <row r="74" spans="1:30" s="987" customFormat="1" x14ac:dyDescent="0.25">
      <c r="A74" s="1076" t="s">
        <v>1212</v>
      </c>
      <c r="B74" s="924" t="s">
        <v>1308</v>
      </c>
      <c r="C74" s="241"/>
      <c r="D74" s="241"/>
      <c r="E74" s="241"/>
      <c r="F74" s="241"/>
      <c r="G74" s="241"/>
      <c r="H74" s="241"/>
      <c r="I74" s="241"/>
      <c r="J74" s="241">
        <f t="shared" si="38"/>
        <v>0</v>
      </c>
      <c r="K74" s="241">
        <f t="shared" si="39"/>
        <v>0</v>
      </c>
      <c r="L74" s="241">
        <f t="shared" ref="L74:L75" si="44">J74</f>
        <v>0</v>
      </c>
      <c r="M74" s="989">
        <f t="shared" ref="M74:M75" si="45">J74</f>
        <v>0</v>
      </c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6"/>
      <c r="Y74" s="266"/>
      <c r="Z74" s="266">
        <f t="shared" si="40"/>
        <v>0</v>
      </c>
      <c r="AA74" s="997">
        <f t="shared" si="41"/>
        <v>0</v>
      </c>
      <c r="AB74" s="990">
        <f t="shared" ref="AB74:AB75" si="46">Z74+AA74</f>
        <v>0</v>
      </c>
      <c r="AC74" s="989">
        <f t="shared" si="42"/>
        <v>0</v>
      </c>
      <c r="AD74" s="996">
        <f t="shared" si="43"/>
        <v>0</v>
      </c>
    </row>
    <row r="75" spans="1:30" s="987" customFormat="1" x14ac:dyDescent="0.25">
      <c r="A75" s="243" t="s">
        <v>1213</v>
      </c>
      <c r="B75" s="924"/>
      <c r="C75" s="241"/>
      <c r="D75" s="241"/>
      <c r="E75" s="241"/>
      <c r="F75" s="241">
        <f>75000</f>
        <v>75000</v>
      </c>
      <c r="G75" s="241"/>
      <c r="H75" s="241"/>
      <c r="I75" s="241"/>
      <c r="J75" s="241">
        <f t="shared" si="38"/>
        <v>75000</v>
      </c>
      <c r="K75" s="241">
        <f t="shared" si="39"/>
        <v>75000</v>
      </c>
      <c r="L75" s="241">
        <f t="shared" si="44"/>
        <v>75000</v>
      </c>
      <c r="M75" s="989">
        <f t="shared" si="45"/>
        <v>75000</v>
      </c>
      <c r="N75" s="266"/>
      <c r="O75" s="266"/>
      <c r="P75" s="266">
        <v>54140</v>
      </c>
      <c r="Q75" s="266">
        <v>20700</v>
      </c>
      <c r="R75" s="266"/>
      <c r="S75" s="266"/>
      <c r="T75" s="266"/>
      <c r="U75" s="266"/>
      <c r="V75" s="266"/>
      <c r="W75" s="266"/>
      <c r="X75" s="266"/>
      <c r="Y75" s="266"/>
      <c r="Z75" s="266">
        <f t="shared" si="40"/>
        <v>74840</v>
      </c>
      <c r="AA75" s="997">
        <f t="shared" si="41"/>
        <v>0</v>
      </c>
      <c r="AB75" s="989">
        <f t="shared" si="46"/>
        <v>74840</v>
      </c>
      <c r="AC75" s="989">
        <f t="shared" si="42"/>
        <v>160</v>
      </c>
      <c r="AD75" s="996">
        <f t="shared" si="43"/>
        <v>160</v>
      </c>
    </row>
    <row r="76" spans="1:30" s="987" customFormat="1" x14ac:dyDescent="0.25">
      <c r="A76" s="1076" t="s">
        <v>1249</v>
      </c>
      <c r="B76" s="241" t="s">
        <v>1306</v>
      </c>
      <c r="C76" s="241"/>
      <c r="D76" s="241"/>
      <c r="E76" s="241"/>
      <c r="F76" s="241"/>
      <c r="G76" s="241"/>
      <c r="H76" s="241"/>
      <c r="I76" s="241"/>
      <c r="J76" s="241">
        <f t="shared" si="38"/>
        <v>0</v>
      </c>
      <c r="K76" s="241"/>
      <c r="L76" s="241">
        <f t="shared" ref="L76:L121" si="47">J76</f>
        <v>0</v>
      </c>
      <c r="M76" s="989">
        <f t="shared" ref="M76:M121" si="48">J76</f>
        <v>0</v>
      </c>
      <c r="N76" s="266"/>
      <c r="O76" s="266"/>
      <c r="P76" s="266"/>
      <c r="Q76" s="266"/>
      <c r="R76" s="266"/>
      <c r="S76" s="266"/>
      <c r="T76" s="266"/>
      <c r="U76" s="266"/>
      <c r="V76" s="266"/>
      <c r="W76" s="266"/>
      <c r="X76" s="266"/>
      <c r="Y76" s="266"/>
      <c r="Z76" s="266">
        <f t="shared" si="40"/>
        <v>0</v>
      </c>
      <c r="AA76" s="997">
        <f t="shared" si="41"/>
        <v>0</v>
      </c>
      <c r="AB76" s="989">
        <f t="shared" ref="AB76:AB121" si="49">Z76+AA76</f>
        <v>0</v>
      </c>
      <c r="AC76" s="989">
        <f t="shared" si="42"/>
        <v>0</v>
      </c>
      <c r="AD76" s="996">
        <f t="shared" si="43"/>
        <v>0</v>
      </c>
    </row>
    <row r="77" spans="1:30" s="987" customFormat="1" ht="39" x14ac:dyDescent="0.25">
      <c r="A77" s="1129" t="s">
        <v>1250</v>
      </c>
      <c r="B77" s="241" t="s">
        <v>1306</v>
      </c>
      <c r="C77" s="241"/>
      <c r="D77" s="241"/>
      <c r="E77" s="241"/>
      <c r="F77" s="241"/>
      <c r="G77" s="241">
        <v>300000</v>
      </c>
      <c r="H77" s="241"/>
      <c r="I77" s="241">
        <f>-300000</f>
        <v>-300000</v>
      </c>
      <c r="J77" s="241">
        <f t="shared" si="38"/>
        <v>0</v>
      </c>
      <c r="K77" s="241">
        <f>J77</f>
        <v>0</v>
      </c>
      <c r="L77" s="241">
        <f>J77</f>
        <v>0</v>
      </c>
      <c r="M77" s="989">
        <f t="shared" si="48"/>
        <v>0</v>
      </c>
      <c r="N77" s="266"/>
      <c r="O77" s="266"/>
      <c r="P77" s="266"/>
      <c r="Q77" s="266"/>
      <c r="R77" s="266"/>
      <c r="S77" s="266"/>
      <c r="T77" s="266"/>
      <c r="U77" s="266"/>
      <c r="V77" s="266"/>
      <c r="W77" s="266"/>
      <c r="X77" s="266"/>
      <c r="Y77" s="266"/>
      <c r="Z77" s="266">
        <f t="shared" si="40"/>
        <v>0</v>
      </c>
      <c r="AA77" s="997">
        <f t="shared" si="41"/>
        <v>0</v>
      </c>
      <c r="AB77" s="989">
        <f t="shared" si="49"/>
        <v>0</v>
      </c>
      <c r="AC77" s="989">
        <f t="shared" si="42"/>
        <v>0</v>
      </c>
      <c r="AD77" s="996">
        <f t="shared" si="43"/>
        <v>0</v>
      </c>
    </row>
    <row r="78" spans="1:30" s="987" customFormat="1" ht="26.25" x14ac:dyDescent="0.25">
      <c r="A78" s="1175" t="s">
        <v>1251</v>
      </c>
      <c r="B78" s="1176"/>
      <c r="C78" s="1177"/>
      <c r="D78" s="1177"/>
      <c r="E78" s="1177"/>
      <c r="F78" s="1177"/>
      <c r="G78" s="1177">
        <v>300000</v>
      </c>
      <c r="H78" s="1177"/>
      <c r="I78" s="1177">
        <f>-300000</f>
        <v>-300000</v>
      </c>
      <c r="J78" s="241">
        <f t="shared" si="38"/>
        <v>0</v>
      </c>
      <c r="K78" s="241">
        <f t="shared" ref="K78:K120" si="50">J78</f>
        <v>0</v>
      </c>
      <c r="L78" s="241">
        <f t="shared" si="47"/>
        <v>0</v>
      </c>
      <c r="M78" s="989">
        <f t="shared" si="48"/>
        <v>0</v>
      </c>
      <c r="N78" s="266"/>
      <c r="O78" s="266"/>
      <c r="P78" s="266"/>
      <c r="Q78" s="266"/>
      <c r="R78" s="266"/>
      <c r="S78" s="266"/>
      <c r="T78" s="266"/>
      <c r="U78" s="266"/>
      <c r="V78" s="266"/>
      <c r="W78" s="266"/>
      <c r="X78" s="266"/>
      <c r="Y78" s="266"/>
      <c r="Z78" s="266">
        <f t="shared" si="40"/>
        <v>0</v>
      </c>
      <c r="AA78" s="997">
        <f t="shared" si="41"/>
        <v>0</v>
      </c>
      <c r="AB78" s="989">
        <f t="shared" si="49"/>
        <v>0</v>
      </c>
      <c r="AC78" s="989">
        <f t="shared" si="42"/>
        <v>0</v>
      </c>
      <c r="AD78" s="996">
        <f t="shared" si="43"/>
        <v>0</v>
      </c>
    </row>
    <row r="79" spans="1:30" s="987" customFormat="1" ht="39" x14ac:dyDescent="0.25">
      <c r="A79" s="1175" t="s">
        <v>1252</v>
      </c>
      <c r="B79" s="1176"/>
      <c r="C79" s="1177"/>
      <c r="D79" s="1177"/>
      <c r="E79" s="1177"/>
      <c r="F79" s="1177"/>
      <c r="G79" s="1177">
        <v>300000</v>
      </c>
      <c r="H79" s="1177"/>
      <c r="I79" s="1177">
        <f>-300000</f>
        <v>-300000</v>
      </c>
      <c r="J79" s="241">
        <f t="shared" si="38"/>
        <v>0</v>
      </c>
      <c r="K79" s="241">
        <f t="shared" si="50"/>
        <v>0</v>
      </c>
      <c r="L79" s="241">
        <f t="shared" si="47"/>
        <v>0</v>
      </c>
      <c r="M79" s="989">
        <f t="shared" si="48"/>
        <v>0</v>
      </c>
      <c r="N79" s="266"/>
      <c r="O79" s="266"/>
      <c r="P79" s="266"/>
      <c r="Q79" s="266"/>
      <c r="R79" s="266"/>
      <c r="S79" s="266"/>
      <c r="T79" s="266"/>
      <c r="U79" s="266"/>
      <c r="V79" s="266"/>
      <c r="W79" s="266"/>
      <c r="X79" s="266"/>
      <c r="Y79" s="266"/>
      <c r="Z79" s="266">
        <f t="shared" si="40"/>
        <v>0</v>
      </c>
      <c r="AA79" s="997">
        <f t="shared" si="41"/>
        <v>0</v>
      </c>
      <c r="AB79" s="989">
        <f t="shared" si="49"/>
        <v>0</v>
      </c>
      <c r="AC79" s="989">
        <f t="shared" si="42"/>
        <v>0</v>
      </c>
      <c r="AD79" s="996">
        <f t="shared" si="43"/>
        <v>0</v>
      </c>
    </row>
    <row r="80" spans="1:30" s="987" customFormat="1" ht="39" x14ac:dyDescent="0.25">
      <c r="A80" s="1175" t="s">
        <v>1253</v>
      </c>
      <c r="B80" s="1176"/>
      <c r="C80" s="1177"/>
      <c r="D80" s="1177"/>
      <c r="E80" s="1177"/>
      <c r="F80" s="1177"/>
      <c r="G80" s="1177">
        <v>400000</v>
      </c>
      <c r="H80" s="1177"/>
      <c r="I80" s="1177">
        <f>-400000</f>
        <v>-400000</v>
      </c>
      <c r="J80" s="241">
        <f t="shared" si="38"/>
        <v>0</v>
      </c>
      <c r="K80" s="241">
        <f t="shared" si="50"/>
        <v>0</v>
      </c>
      <c r="L80" s="241">
        <f t="shared" si="47"/>
        <v>0</v>
      </c>
      <c r="M80" s="989">
        <f t="shared" si="48"/>
        <v>0</v>
      </c>
      <c r="N80" s="266"/>
      <c r="O80" s="266"/>
      <c r="P80" s="266"/>
      <c r="Q80" s="266"/>
      <c r="R80" s="266"/>
      <c r="S80" s="266"/>
      <c r="T80" s="266"/>
      <c r="U80" s="266"/>
      <c r="V80" s="266"/>
      <c r="W80" s="266"/>
      <c r="X80" s="266"/>
      <c r="Y80" s="266"/>
      <c r="Z80" s="266">
        <f t="shared" si="40"/>
        <v>0</v>
      </c>
      <c r="AA80" s="997">
        <f t="shared" si="41"/>
        <v>0</v>
      </c>
      <c r="AB80" s="989">
        <f t="shared" si="49"/>
        <v>0</v>
      </c>
      <c r="AC80" s="989">
        <f t="shared" si="42"/>
        <v>0</v>
      </c>
      <c r="AD80" s="1230">
        <f t="shared" si="43"/>
        <v>0</v>
      </c>
    </row>
    <row r="81" spans="1:30" s="987" customFormat="1" x14ac:dyDescent="0.25">
      <c r="A81" s="1178" t="s">
        <v>1254</v>
      </c>
      <c r="B81" s="1176"/>
      <c r="C81" s="1177"/>
      <c r="D81" s="1177"/>
      <c r="E81" s="1177"/>
      <c r="F81" s="1177"/>
      <c r="G81" s="1177">
        <v>1500000</v>
      </c>
      <c r="H81" s="1177"/>
      <c r="I81" s="1177"/>
      <c r="J81" s="241">
        <f t="shared" si="38"/>
        <v>1500000</v>
      </c>
      <c r="K81" s="241">
        <f t="shared" si="50"/>
        <v>1500000</v>
      </c>
      <c r="L81" s="241">
        <f t="shared" si="47"/>
        <v>1500000</v>
      </c>
      <c r="M81" s="989">
        <f t="shared" si="48"/>
        <v>1500000</v>
      </c>
      <c r="N81" s="266"/>
      <c r="O81" s="266"/>
      <c r="P81" s="266"/>
      <c r="Q81" s="266"/>
      <c r="R81" s="266"/>
      <c r="S81" s="266"/>
      <c r="T81" s="266"/>
      <c r="U81" s="266"/>
      <c r="V81" s="266"/>
      <c r="W81" s="266"/>
      <c r="X81" s="266"/>
      <c r="Y81" s="266"/>
      <c r="Z81" s="266">
        <f t="shared" si="40"/>
        <v>0</v>
      </c>
      <c r="AA81" s="997">
        <f t="shared" si="41"/>
        <v>0</v>
      </c>
      <c r="AB81" s="989">
        <f t="shared" si="49"/>
        <v>0</v>
      </c>
      <c r="AC81" s="989">
        <f t="shared" si="42"/>
        <v>1500000</v>
      </c>
      <c r="AD81" s="1230">
        <f t="shared" si="43"/>
        <v>1500000</v>
      </c>
    </row>
    <row r="82" spans="1:30" s="987" customFormat="1" ht="26.25" x14ac:dyDescent="0.25">
      <c r="A82" s="1175" t="s">
        <v>1266</v>
      </c>
      <c r="B82" s="1176"/>
      <c r="C82" s="1177"/>
      <c r="D82" s="1177"/>
      <c r="E82" s="1177"/>
      <c r="F82" s="1177"/>
      <c r="G82" s="1177">
        <v>200000</v>
      </c>
      <c r="H82" s="1177"/>
      <c r="I82" s="1177"/>
      <c r="J82" s="241">
        <f t="shared" si="38"/>
        <v>200000</v>
      </c>
      <c r="K82" s="241">
        <f t="shared" si="50"/>
        <v>200000</v>
      </c>
      <c r="L82" s="241">
        <f t="shared" si="47"/>
        <v>200000</v>
      </c>
      <c r="M82" s="989">
        <f t="shared" si="48"/>
        <v>200000</v>
      </c>
      <c r="N82" s="266"/>
      <c r="O82" s="266"/>
      <c r="P82" s="266"/>
      <c r="Q82" s="266"/>
      <c r="R82" s="266"/>
      <c r="S82" s="266"/>
      <c r="T82" s="266"/>
      <c r="U82" s="266">
        <v>68630.850000000006</v>
      </c>
      <c r="V82" s="266">
        <f>27211.25</f>
        <v>27211.25</v>
      </c>
      <c r="W82" s="266"/>
      <c r="X82" s="266"/>
      <c r="Y82" s="266"/>
      <c r="Z82" s="266">
        <f t="shared" si="40"/>
        <v>95842.1</v>
      </c>
      <c r="AA82" s="997">
        <f t="shared" si="41"/>
        <v>0</v>
      </c>
      <c r="AB82" s="989">
        <f t="shared" si="49"/>
        <v>95842.1</v>
      </c>
      <c r="AC82" s="989">
        <f t="shared" si="42"/>
        <v>104157.9</v>
      </c>
      <c r="AD82" s="1230">
        <f t="shared" si="43"/>
        <v>104157.9</v>
      </c>
    </row>
    <row r="83" spans="1:30" s="987" customFormat="1" x14ac:dyDescent="0.25">
      <c r="A83" s="1178" t="s">
        <v>1255</v>
      </c>
      <c r="B83" s="1176"/>
      <c r="C83" s="1177"/>
      <c r="D83" s="1177"/>
      <c r="E83" s="1177"/>
      <c r="F83" s="1177"/>
      <c r="G83" s="1177">
        <v>100000</v>
      </c>
      <c r="H83" s="1177"/>
      <c r="I83" s="1177"/>
      <c r="J83" s="241">
        <f t="shared" si="38"/>
        <v>100000</v>
      </c>
      <c r="K83" s="241">
        <f t="shared" si="50"/>
        <v>100000</v>
      </c>
      <c r="L83" s="241">
        <f t="shared" si="47"/>
        <v>100000</v>
      </c>
      <c r="M83" s="989">
        <f t="shared" si="48"/>
        <v>100000</v>
      </c>
      <c r="N83" s="266"/>
      <c r="O83" s="266"/>
      <c r="P83" s="266"/>
      <c r="Q83" s="266"/>
      <c r="R83" s="266"/>
      <c r="S83" s="266"/>
      <c r="T83" s="266"/>
      <c r="U83" s="266"/>
      <c r="V83" s="266"/>
      <c r="W83" s="266"/>
      <c r="X83" s="266"/>
      <c r="Y83" s="266"/>
      <c r="Z83" s="266">
        <f t="shared" si="40"/>
        <v>0</v>
      </c>
      <c r="AA83" s="997">
        <f t="shared" si="41"/>
        <v>0</v>
      </c>
      <c r="AB83" s="989">
        <f t="shared" si="49"/>
        <v>0</v>
      </c>
      <c r="AC83" s="989">
        <f t="shared" si="42"/>
        <v>100000</v>
      </c>
      <c r="AD83" s="1230">
        <f t="shared" si="43"/>
        <v>100000</v>
      </c>
    </row>
    <row r="84" spans="1:30" s="987" customFormat="1" x14ac:dyDescent="0.25">
      <c r="A84" s="1178" t="s">
        <v>1256</v>
      </c>
      <c r="B84" s="1176"/>
      <c r="C84" s="1177"/>
      <c r="D84" s="1177"/>
      <c r="E84" s="1177"/>
      <c r="F84" s="1177"/>
      <c r="G84" s="1177">
        <v>100000</v>
      </c>
      <c r="H84" s="1177"/>
      <c r="I84" s="1177"/>
      <c r="J84" s="241">
        <f t="shared" si="38"/>
        <v>100000</v>
      </c>
      <c r="K84" s="241">
        <f t="shared" si="50"/>
        <v>100000</v>
      </c>
      <c r="L84" s="241">
        <f t="shared" si="47"/>
        <v>100000</v>
      </c>
      <c r="M84" s="989">
        <f t="shared" si="48"/>
        <v>100000</v>
      </c>
      <c r="N84" s="266"/>
      <c r="O84" s="266"/>
      <c r="P84" s="266"/>
      <c r="Q84" s="266"/>
      <c r="R84" s="266"/>
      <c r="S84" s="266"/>
      <c r="T84" s="266"/>
      <c r="U84" s="266"/>
      <c r="V84" s="266"/>
      <c r="W84" s="266"/>
      <c r="X84" s="266"/>
      <c r="Y84" s="266"/>
      <c r="Z84" s="266">
        <f t="shared" si="40"/>
        <v>0</v>
      </c>
      <c r="AA84" s="997">
        <f t="shared" si="41"/>
        <v>0</v>
      </c>
      <c r="AB84" s="989">
        <f t="shared" si="49"/>
        <v>0</v>
      </c>
      <c r="AC84" s="989">
        <f t="shared" si="42"/>
        <v>100000</v>
      </c>
      <c r="AD84" s="1230">
        <f t="shared" si="43"/>
        <v>100000</v>
      </c>
    </row>
    <row r="85" spans="1:30" s="987" customFormat="1" x14ac:dyDescent="0.25">
      <c r="A85" s="1178" t="s">
        <v>1257</v>
      </c>
      <c r="B85" s="1176"/>
      <c r="C85" s="1177"/>
      <c r="D85" s="1177"/>
      <c r="E85" s="1177"/>
      <c r="F85" s="1177"/>
      <c r="G85" s="1177">
        <v>200000</v>
      </c>
      <c r="H85" s="1177"/>
      <c r="I85" s="1177"/>
      <c r="J85" s="241">
        <f t="shared" si="38"/>
        <v>200000</v>
      </c>
      <c r="K85" s="241">
        <f t="shared" si="50"/>
        <v>200000</v>
      </c>
      <c r="L85" s="241">
        <f t="shared" si="47"/>
        <v>200000</v>
      </c>
      <c r="M85" s="989">
        <f t="shared" si="48"/>
        <v>200000</v>
      </c>
      <c r="N85" s="266"/>
      <c r="O85" s="266"/>
      <c r="P85" s="266"/>
      <c r="Q85" s="266"/>
      <c r="R85" s="266"/>
      <c r="S85" s="266"/>
      <c r="T85" s="266"/>
      <c r="U85" s="266">
        <v>44793.05</v>
      </c>
      <c r="V85" s="266">
        <v>55426.5</v>
      </c>
      <c r="W85" s="266"/>
      <c r="X85" s="266"/>
      <c r="Y85" s="266"/>
      <c r="Z85" s="266">
        <f t="shared" si="40"/>
        <v>100219.55</v>
      </c>
      <c r="AA85" s="997">
        <f t="shared" si="41"/>
        <v>0</v>
      </c>
      <c r="AB85" s="989">
        <f t="shared" si="49"/>
        <v>100219.55</v>
      </c>
      <c r="AC85" s="989">
        <f t="shared" si="42"/>
        <v>99780.45</v>
      </c>
      <c r="AD85" s="1230">
        <f t="shared" si="43"/>
        <v>99780.45</v>
      </c>
    </row>
    <row r="86" spans="1:30" s="987" customFormat="1" x14ac:dyDescent="0.25">
      <c r="A86" s="1178" t="s">
        <v>1258</v>
      </c>
      <c r="B86" s="1176"/>
      <c r="C86" s="1177"/>
      <c r="D86" s="1177"/>
      <c r="E86" s="1177"/>
      <c r="F86" s="1177"/>
      <c r="G86" s="1177">
        <v>200000</v>
      </c>
      <c r="H86" s="1177"/>
      <c r="I86" s="1177"/>
      <c r="J86" s="241">
        <f t="shared" si="38"/>
        <v>200000</v>
      </c>
      <c r="K86" s="241">
        <f t="shared" si="50"/>
        <v>200000</v>
      </c>
      <c r="L86" s="241">
        <f t="shared" si="47"/>
        <v>200000</v>
      </c>
      <c r="M86" s="989">
        <f t="shared" si="48"/>
        <v>200000</v>
      </c>
      <c r="N86" s="266"/>
      <c r="O86" s="266"/>
      <c r="P86" s="266"/>
      <c r="Q86" s="266"/>
      <c r="R86" s="266"/>
      <c r="S86" s="266"/>
      <c r="T86" s="266"/>
      <c r="U86" s="266"/>
      <c r="V86" s="266"/>
      <c r="W86" s="266"/>
      <c r="X86" s="266"/>
      <c r="Y86" s="266"/>
      <c r="Z86" s="266">
        <f t="shared" si="40"/>
        <v>0</v>
      </c>
      <c r="AA86" s="997">
        <f t="shared" si="41"/>
        <v>0</v>
      </c>
      <c r="AB86" s="989">
        <f t="shared" si="49"/>
        <v>0</v>
      </c>
      <c r="AC86" s="989">
        <f t="shared" si="42"/>
        <v>200000</v>
      </c>
      <c r="AD86" s="1230">
        <f t="shared" si="43"/>
        <v>200000</v>
      </c>
    </row>
    <row r="87" spans="1:30" s="987" customFormat="1" x14ac:dyDescent="0.25">
      <c r="A87" s="1178" t="s">
        <v>1259</v>
      </c>
      <c r="B87" s="1176"/>
      <c r="C87" s="1177"/>
      <c r="D87" s="1177"/>
      <c r="E87" s="1177"/>
      <c r="F87" s="1177"/>
      <c r="G87" s="1177">
        <v>450000</v>
      </c>
      <c r="H87" s="1177"/>
      <c r="I87" s="1177"/>
      <c r="J87" s="241">
        <f t="shared" si="38"/>
        <v>450000</v>
      </c>
      <c r="K87" s="241">
        <f t="shared" si="50"/>
        <v>450000</v>
      </c>
      <c r="L87" s="241">
        <f t="shared" si="47"/>
        <v>450000</v>
      </c>
      <c r="M87" s="989">
        <f t="shared" si="48"/>
        <v>450000</v>
      </c>
      <c r="N87" s="266"/>
      <c r="O87" s="266"/>
      <c r="P87" s="266"/>
      <c r="Q87" s="266"/>
      <c r="R87" s="266"/>
      <c r="S87" s="266"/>
      <c r="T87" s="266">
        <v>339975</v>
      </c>
      <c r="U87" s="266">
        <v>88250</v>
      </c>
      <c r="V87" s="266"/>
      <c r="W87" s="266"/>
      <c r="X87" s="266"/>
      <c r="Y87" s="266"/>
      <c r="Z87" s="266">
        <f t="shared" si="40"/>
        <v>428225</v>
      </c>
      <c r="AA87" s="997">
        <f t="shared" si="41"/>
        <v>0</v>
      </c>
      <c r="AB87" s="989">
        <f t="shared" si="49"/>
        <v>428225</v>
      </c>
      <c r="AC87" s="989">
        <f t="shared" si="42"/>
        <v>21775</v>
      </c>
      <c r="AD87" s="1230">
        <f t="shared" si="43"/>
        <v>21775</v>
      </c>
    </row>
    <row r="88" spans="1:30" s="987" customFormat="1" x14ac:dyDescent="0.25">
      <c r="A88" s="1178" t="s">
        <v>1260</v>
      </c>
      <c r="B88" s="1176"/>
      <c r="C88" s="1177"/>
      <c r="D88" s="1177"/>
      <c r="E88" s="1177"/>
      <c r="F88" s="1177"/>
      <c r="G88" s="1177">
        <v>300000</v>
      </c>
      <c r="H88" s="1177"/>
      <c r="I88" s="1177"/>
      <c r="J88" s="241">
        <f t="shared" si="38"/>
        <v>300000</v>
      </c>
      <c r="K88" s="241">
        <f t="shared" si="50"/>
        <v>300000</v>
      </c>
      <c r="L88" s="241">
        <f t="shared" si="47"/>
        <v>300000</v>
      </c>
      <c r="M88" s="989">
        <f t="shared" si="48"/>
        <v>300000</v>
      </c>
      <c r="N88" s="266"/>
      <c r="O88" s="266"/>
      <c r="P88" s="266"/>
      <c r="Q88" s="266"/>
      <c r="R88" s="266"/>
      <c r="S88" s="266"/>
      <c r="T88" s="266"/>
      <c r="U88" s="266"/>
      <c r="V88" s="266">
        <f>83400+201374</f>
        <v>284774</v>
      </c>
      <c r="W88" s="266"/>
      <c r="X88" s="266"/>
      <c r="Y88" s="266"/>
      <c r="Z88" s="266">
        <f t="shared" si="40"/>
        <v>284774</v>
      </c>
      <c r="AA88" s="997">
        <f t="shared" si="41"/>
        <v>0</v>
      </c>
      <c r="AB88" s="989">
        <f t="shared" si="49"/>
        <v>284774</v>
      </c>
      <c r="AC88" s="989">
        <f t="shared" si="42"/>
        <v>15226</v>
      </c>
      <c r="AD88" s="1230">
        <f t="shared" si="43"/>
        <v>15226</v>
      </c>
    </row>
    <row r="89" spans="1:30" s="987" customFormat="1" ht="30" customHeight="1" x14ac:dyDescent="0.25">
      <c r="A89" s="1175" t="s">
        <v>1378</v>
      </c>
      <c r="B89" s="1176"/>
      <c r="C89" s="1177"/>
      <c r="D89" s="1177">
        <f>157523.6</f>
        <v>157523.6</v>
      </c>
      <c r="E89" s="1177"/>
      <c r="F89" s="1177"/>
      <c r="G89" s="1177"/>
      <c r="H89" s="1177"/>
      <c r="I89" s="1177"/>
      <c r="J89" s="241">
        <f>SUM(C89:I89)</f>
        <v>157523.6</v>
      </c>
      <c r="K89" s="241"/>
      <c r="L89" s="241">
        <f t="shared" ref="L89" si="51">J89</f>
        <v>157523.6</v>
      </c>
      <c r="M89" s="989">
        <f t="shared" ref="M89" si="52">J89</f>
        <v>157523.6</v>
      </c>
      <c r="N89" s="266"/>
      <c r="O89" s="266"/>
      <c r="P89" s="266"/>
      <c r="Q89" s="266"/>
      <c r="R89" s="266"/>
      <c r="S89" s="266"/>
      <c r="T89" s="266"/>
      <c r="U89" s="266"/>
      <c r="V89" s="266"/>
      <c r="W89" s="266"/>
      <c r="X89" s="266"/>
      <c r="Y89" s="266"/>
      <c r="Z89" s="266">
        <f t="shared" si="40"/>
        <v>0</v>
      </c>
      <c r="AA89" s="997">
        <f t="shared" si="41"/>
        <v>0</v>
      </c>
      <c r="AB89" s="989">
        <f t="shared" ref="AB89" si="53">Z89+AA89</f>
        <v>0</v>
      </c>
      <c r="AC89" s="989">
        <f t="shared" ref="AC89" si="54">M89-AB89</f>
        <v>157523.6</v>
      </c>
      <c r="AD89" s="1230">
        <f t="shared" ref="AD89" si="55">J89-AB89</f>
        <v>157523.6</v>
      </c>
    </row>
    <row r="90" spans="1:30" s="987" customFormat="1" x14ac:dyDescent="0.25">
      <c r="A90" s="1179" t="s">
        <v>1212</v>
      </c>
      <c r="B90" s="1176"/>
      <c r="C90" s="1177"/>
      <c r="D90" s="1177"/>
      <c r="E90" s="1177"/>
      <c r="F90" s="1177"/>
      <c r="G90" s="1177"/>
      <c r="H90" s="1177"/>
      <c r="I90" s="1177"/>
      <c r="J90" s="241">
        <f t="shared" si="38"/>
        <v>0</v>
      </c>
      <c r="K90" s="241">
        <f t="shared" si="50"/>
        <v>0</v>
      </c>
      <c r="L90" s="241">
        <f t="shared" si="47"/>
        <v>0</v>
      </c>
      <c r="M90" s="989">
        <f t="shared" si="48"/>
        <v>0</v>
      </c>
      <c r="N90" s="266"/>
      <c r="O90" s="266"/>
      <c r="P90" s="266"/>
      <c r="Q90" s="266"/>
      <c r="R90" s="266"/>
      <c r="S90" s="266"/>
      <c r="T90" s="266"/>
      <c r="U90" s="266"/>
      <c r="V90" s="266"/>
      <c r="W90" s="266"/>
      <c r="X90" s="266"/>
      <c r="Y90" s="266"/>
      <c r="Z90" s="266">
        <f t="shared" si="40"/>
        <v>0</v>
      </c>
      <c r="AA90" s="997">
        <f t="shared" si="41"/>
        <v>0</v>
      </c>
      <c r="AB90" s="989">
        <f t="shared" si="49"/>
        <v>0</v>
      </c>
      <c r="AC90" s="989">
        <f t="shared" si="42"/>
        <v>0</v>
      </c>
      <c r="AD90" s="1230">
        <f t="shared" si="43"/>
        <v>0</v>
      </c>
    </row>
    <row r="91" spans="1:30" s="987" customFormat="1" ht="39" x14ac:dyDescent="0.25">
      <c r="A91" s="1180" t="s">
        <v>1261</v>
      </c>
      <c r="B91" s="1176"/>
      <c r="C91" s="1177"/>
      <c r="D91" s="1177"/>
      <c r="E91" s="1177"/>
      <c r="F91" s="1177"/>
      <c r="G91" s="1177">
        <v>100000</v>
      </c>
      <c r="H91" s="1177"/>
      <c r="I91" s="1177">
        <f>-100000</f>
        <v>-100000</v>
      </c>
      <c r="J91" s="241">
        <f t="shared" si="38"/>
        <v>0</v>
      </c>
      <c r="K91" s="241">
        <f t="shared" si="50"/>
        <v>0</v>
      </c>
      <c r="L91" s="241">
        <f t="shared" si="47"/>
        <v>0</v>
      </c>
      <c r="M91" s="989">
        <f t="shared" si="48"/>
        <v>0</v>
      </c>
      <c r="N91" s="266"/>
      <c r="O91" s="266"/>
      <c r="P91" s="266"/>
      <c r="Q91" s="266"/>
      <c r="R91" s="266"/>
      <c r="S91" s="266"/>
      <c r="T91" s="266"/>
      <c r="U91" s="266"/>
      <c r="V91" s="266"/>
      <c r="W91" s="266"/>
      <c r="X91" s="266"/>
      <c r="Y91" s="266"/>
      <c r="Z91" s="266">
        <f t="shared" si="40"/>
        <v>0</v>
      </c>
      <c r="AA91" s="997">
        <f t="shared" si="41"/>
        <v>0</v>
      </c>
      <c r="AB91" s="989">
        <f t="shared" si="49"/>
        <v>0</v>
      </c>
      <c r="AC91" s="989">
        <f t="shared" si="42"/>
        <v>0</v>
      </c>
      <c r="AD91" s="1230">
        <f t="shared" si="43"/>
        <v>0</v>
      </c>
    </row>
    <row r="92" spans="1:30" s="987" customFormat="1" ht="26.25" x14ac:dyDescent="0.25">
      <c r="A92" s="1180" t="s">
        <v>1262</v>
      </c>
      <c r="B92" s="1176"/>
      <c r="C92" s="1177"/>
      <c r="D92" s="1177"/>
      <c r="E92" s="1177"/>
      <c r="F92" s="1177"/>
      <c r="G92" s="1177">
        <v>500000</v>
      </c>
      <c r="H92" s="1177"/>
      <c r="I92" s="1177"/>
      <c r="J92" s="241">
        <f t="shared" si="38"/>
        <v>500000</v>
      </c>
      <c r="K92" s="241">
        <f t="shared" si="50"/>
        <v>500000</v>
      </c>
      <c r="L92" s="241">
        <f t="shared" si="47"/>
        <v>500000</v>
      </c>
      <c r="M92" s="989">
        <f t="shared" si="48"/>
        <v>500000</v>
      </c>
      <c r="N92" s="266"/>
      <c r="O92" s="266"/>
      <c r="P92" s="266"/>
      <c r="Q92" s="266"/>
      <c r="R92" s="266"/>
      <c r="S92" s="266"/>
      <c r="T92" s="266"/>
      <c r="U92" s="266"/>
      <c r="V92" s="266"/>
      <c r="W92" s="266"/>
      <c r="X92" s="266"/>
      <c r="Y92" s="266"/>
      <c r="Z92" s="266">
        <f t="shared" si="40"/>
        <v>0</v>
      </c>
      <c r="AA92" s="997">
        <f t="shared" si="41"/>
        <v>0</v>
      </c>
      <c r="AB92" s="989">
        <f t="shared" si="49"/>
        <v>0</v>
      </c>
      <c r="AC92" s="989">
        <f t="shared" si="42"/>
        <v>500000</v>
      </c>
      <c r="AD92" s="1230">
        <f t="shared" si="43"/>
        <v>500000</v>
      </c>
    </row>
    <row r="93" spans="1:30" s="987" customFormat="1" ht="39" x14ac:dyDescent="0.25">
      <c r="A93" s="1180" t="s">
        <v>1263</v>
      </c>
      <c r="B93" s="1176"/>
      <c r="C93" s="1177"/>
      <c r="D93" s="1177"/>
      <c r="E93" s="1177"/>
      <c r="F93" s="1177"/>
      <c r="G93" s="1177">
        <v>250000</v>
      </c>
      <c r="H93" s="1177"/>
      <c r="I93" s="1177"/>
      <c r="J93" s="241">
        <f t="shared" si="38"/>
        <v>250000</v>
      </c>
      <c r="K93" s="241">
        <f t="shared" si="50"/>
        <v>250000</v>
      </c>
      <c r="L93" s="241">
        <f t="shared" si="47"/>
        <v>250000</v>
      </c>
      <c r="M93" s="989">
        <f t="shared" si="48"/>
        <v>250000</v>
      </c>
      <c r="N93" s="266"/>
      <c r="O93" s="266"/>
      <c r="P93" s="266"/>
      <c r="Q93" s="266"/>
      <c r="R93" s="266"/>
      <c r="S93" s="266"/>
      <c r="T93" s="266">
        <v>180980</v>
      </c>
      <c r="U93" s="266">
        <v>68550</v>
      </c>
      <c r="V93" s="266"/>
      <c r="W93" s="266"/>
      <c r="X93" s="266"/>
      <c r="Y93" s="266"/>
      <c r="Z93" s="266">
        <f t="shared" si="40"/>
        <v>249530</v>
      </c>
      <c r="AA93" s="997">
        <f t="shared" si="41"/>
        <v>0</v>
      </c>
      <c r="AB93" s="989">
        <f t="shared" si="49"/>
        <v>249530</v>
      </c>
      <c r="AC93" s="989">
        <f t="shared" si="42"/>
        <v>470</v>
      </c>
      <c r="AD93" s="1230">
        <f t="shared" si="43"/>
        <v>470</v>
      </c>
    </row>
    <row r="94" spans="1:30" s="987" customFormat="1" x14ac:dyDescent="0.25">
      <c r="A94" s="1185" t="s">
        <v>1264</v>
      </c>
      <c r="B94" s="1176"/>
      <c r="C94" s="1177"/>
      <c r="D94" s="1177"/>
      <c r="E94" s="1177"/>
      <c r="F94" s="1177"/>
      <c r="G94" s="1177">
        <v>3000000</v>
      </c>
      <c r="H94" s="1177"/>
      <c r="I94" s="1177"/>
      <c r="J94" s="241">
        <f t="shared" si="38"/>
        <v>3000000</v>
      </c>
      <c r="K94" s="241">
        <f t="shared" si="50"/>
        <v>3000000</v>
      </c>
      <c r="L94" s="241">
        <f t="shared" si="47"/>
        <v>3000000</v>
      </c>
      <c r="M94" s="989">
        <f t="shared" si="48"/>
        <v>3000000</v>
      </c>
      <c r="N94" s="266"/>
      <c r="O94" s="266"/>
      <c r="P94" s="266"/>
      <c r="Q94" s="266"/>
      <c r="R94" s="266"/>
      <c r="S94" s="266"/>
      <c r="T94" s="266"/>
      <c r="U94" s="266"/>
      <c r="V94" s="266"/>
      <c r="W94" s="266"/>
      <c r="X94" s="266"/>
      <c r="Y94" s="266"/>
      <c r="Z94" s="266">
        <f t="shared" si="40"/>
        <v>0</v>
      </c>
      <c r="AA94" s="997">
        <f t="shared" si="41"/>
        <v>0</v>
      </c>
      <c r="AB94" s="989">
        <f t="shared" si="49"/>
        <v>0</v>
      </c>
      <c r="AC94" s="989">
        <f t="shared" si="42"/>
        <v>3000000</v>
      </c>
      <c r="AD94" s="1230">
        <f t="shared" si="43"/>
        <v>3000000</v>
      </c>
    </row>
    <row r="95" spans="1:30" s="987" customFormat="1" x14ac:dyDescent="0.25">
      <c r="A95" s="1181" t="s">
        <v>1268</v>
      </c>
      <c r="B95" s="1176" t="s">
        <v>1006</v>
      </c>
      <c r="C95" s="1177"/>
      <c r="D95" s="1177"/>
      <c r="E95" s="1177"/>
      <c r="F95" s="1177"/>
      <c r="G95" s="1177"/>
      <c r="H95" s="1177"/>
      <c r="I95" s="1177"/>
      <c r="J95" s="241">
        <f t="shared" si="38"/>
        <v>0</v>
      </c>
      <c r="K95" s="241">
        <f t="shared" si="50"/>
        <v>0</v>
      </c>
      <c r="L95" s="241">
        <f t="shared" si="47"/>
        <v>0</v>
      </c>
      <c r="M95" s="989">
        <f t="shared" si="48"/>
        <v>0</v>
      </c>
      <c r="N95" s="266"/>
      <c r="O95" s="266"/>
      <c r="P95" s="266"/>
      <c r="Q95" s="266"/>
      <c r="R95" s="266"/>
      <c r="S95" s="266"/>
      <c r="T95" s="266"/>
      <c r="U95" s="266"/>
      <c r="V95" s="266"/>
      <c r="W95" s="266"/>
      <c r="X95" s="266"/>
      <c r="Y95" s="266"/>
      <c r="Z95" s="266">
        <f t="shared" si="40"/>
        <v>0</v>
      </c>
      <c r="AA95" s="997">
        <f t="shared" si="41"/>
        <v>0</v>
      </c>
      <c r="AB95" s="989">
        <f t="shared" si="49"/>
        <v>0</v>
      </c>
      <c r="AC95" s="989">
        <f t="shared" si="42"/>
        <v>0</v>
      </c>
      <c r="AD95" s="1230">
        <f t="shared" si="43"/>
        <v>0</v>
      </c>
    </row>
    <row r="96" spans="1:30" s="987" customFormat="1" ht="26.25" x14ac:dyDescent="0.25">
      <c r="A96" s="1182" t="s">
        <v>1265</v>
      </c>
      <c r="B96" s="1176"/>
      <c r="C96" s="1177"/>
      <c r="D96" s="1177"/>
      <c r="E96" s="1177"/>
      <c r="F96" s="1177"/>
      <c r="G96" s="1177">
        <v>100000</v>
      </c>
      <c r="H96" s="1177"/>
      <c r="I96" s="1177"/>
      <c r="J96" s="241">
        <f t="shared" si="38"/>
        <v>100000</v>
      </c>
      <c r="K96" s="241">
        <f t="shared" si="50"/>
        <v>100000</v>
      </c>
      <c r="L96" s="241">
        <f t="shared" si="47"/>
        <v>100000</v>
      </c>
      <c r="M96" s="989">
        <f t="shared" si="48"/>
        <v>100000</v>
      </c>
      <c r="N96" s="266"/>
      <c r="O96" s="266"/>
      <c r="P96" s="266"/>
      <c r="Q96" s="266"/>
      <c r="R96" s="266"/>
      <c r="S96" s="266"/>
      <c r="T96" s="266"/>
      <c r="U96" s="266"/>
      <c r="V96" s="266"/>
      <c r="W96" s="266"/>
      <c r="X96" s="266"/>
      <c r="Y96" s="266"/>
      <c r="Z96" s="266">
        <f t="shared" si="40"/>
        <v>0</v>
      </c>
      <c r="AA96" s="997">
        <f t="shared" si="41"/>
        <v>0</v>
      </c>
      <c r="AB96" s="989">
        <f t="shared" si="49"/>
        <v>0</v>
      </c>
      <c r="AC96" s="989">
        <f t="shared" si="42"/>
        <v>100000</v>
      </c>
      <c r="AD96" s="1230">
        <f t="shared" si="43"/>
        <v>100000</v>
      </c>
    </row>
    <row r="97" spans="1:30" s="987" customFormat="1" ht="26.25" x14ac:dyDescent="0.25">
      <c r="A97" s="1182" t="s">
        <v>1269</v>
      </c>
      <c r="B97" s="1176"/>
      <c r="C97" s="1177"/>
      <c r="D97" s="1177"/>
      <c r="E97" s="1177"/>
      <c r="F97" s="1177"/>
      <c r="G97" s="1177">
        <v>70000</v>
      </c>
      <c r="H97" s="1177"/>
      <c r="I97" s="1177"/>
      <c r="J97" s="241">
        <f t="shared" si="38"/>
        <v>70000</v>
      </c>
      <c r="K97" s="241">
        <f t="shared" si="50"/>
        <v>70000</v>
      </c>
      <c r="L97" s="241">
        <f t="shared" si="47"/>
        <v>70000</v>
      </c>
      <c r="M97" s="989">
        <f t="shared" si="48"/>
        <v>70000</v>
      </c>
      <c r="N97" s="266"/>
      <c r="O97" s="266"/>
      <c r="P97" s="266"/>
      <c r="Q97" s="266"/>
      <c r="R97" s="266"/>
      <c r="S97" s="266"/>
      <c r="T97" s="266"/>
      <c r="U97" s="266">
        <f>40865+29100</f>
        <v>69965</v>
      </c>
      <c r="V97" s="266"/>
      <c r="W97" s="266"/>
      <c r="X97" s="266"/>
      <c r="Y97" s="266"/>
      <c r="Z97" s="266">
        <f t="shared" si="40"/>
        <v>69965</v>
      </c>
      <c r="AA97" s="997">
        <f t="shared" si="41"/>
        <v>0</v>
      </c>
      <c r="AB97" s="989">
        <f t="shared" si="49"/>
        <v>69965</v>
      </c>
      <c r="AC97" s="989">
        <f t="shared" si="42"/>
        <v>35</v>
      </c>
      <c r="AD97" s="1230">
        <f t="shared" si="43"/>
        <v>35</v>
      </c>
    </row>
    <row r="98" spans="1:30" s="987" customFormat="1" x14ac:dyDescent="0.25">
      <c r="A98" s="1183" t="s">
        <v>1270</v>
      </c>
      <c r="B98" s="1176" t="s">
        <v>1005</v>
      </c>
      <c r="C98" s="1177"/>
      <c r="D98" s="1177"/>
      <c r="E98" s="1177"/>
      <c r="F98" s="1177"/>
      <c r="G98" s="1177"/>
      <c r="H98" s="1177"/>
      <c r="I98" s="1177"/>
      <c r="J98" s="241">
        <f t="shared" si="38"/>
        <v>0</v>
      </c>
      <c r="K98" s="241">
        <f t="shared" si="50"/>
        <v>0</v>
      </c>
      <c r="L98" s="241">
        <f t="shared" si="47"/>
        <v>0</v>
      </c>
      <c r="M98" s="989">
        <f t="shared" si="48"/>
        <v>0</v>
      </c>
      <c r="N98" s="266"/>
      <c r="O98" s="266"/>
      <c r="P98" s="266"/>
      <c r="Q98" s="266"/>
      <c r="R98" s="266"/>
      <c r="S98" s="266"/>
      <c r="T98" s="266"/>
      <c r="U98" s="266"/>
      <c r="V98" s="266"/>
      <c r="W98" s="266"/>
      <c r="X98" s="266"/>
      <c r="Y98" s="266"/>
      <c r="Z98" s="266">
        <f t="shared" si="40"/>
        <v>0</v>
      </c>
      <c r="AA98" s="997">
        <f t="shared" si="41"/>
        <v>0</v>
      </c>
      <c r="AB98" s="989">
        <f t="shared" si="49"/>
        <v>0</v>
      </c>
      <c r="AC98" s="989">
        <f t="shared" si="42"/>
        <v>0</v>
      </c>
      <c r="AD98" s="996">
        <f t="shared" si="43"/>
        <v>0</v>
      </c>
    </row>
    <row r="99" spans="1:30" s="987" customFormat="1" ht="26.25" x14ac:dyDescent="0.25">
      <c r="A99" s="1180" t="s">
        <v>1271</v>
      </c>
      <c r="B99" s="1176"/>
      <c r="C99" s="1177"/>
      <c r="D99" s="1177"/>
      <c r="E99" s="1177"/>
      <c r="F99" s="1177"/>
      <c r="G99" s="1177">
        <v>187000</v>
      </c>
      <c r="H99" s="1177"/>
      <c r="I99" s="1177"/>
      <c r="J99" s="241">
        <f t="shared" si="38"/>
        <v>187000</v>
      </c>
      <c r="K99" s="241">
        <f t="shared" si="50"/>
        <v>187000</v>
      </c>
      <c r="L99" s="241">
        <f t="shared" si="47"/>
        <v>187000</v>
      </c>
      <c r="M99" s="989">
        <f t="shared" si="48"/>
        <v>187000</v>
      </c>
      <c r="N99" s="266"/>
      <c r="O99" s="266"/>
      <c r="P99" s="266"/>
      <c r="Q99" s="266"/>
      <c r="R99" s="266"/>
      <c r="S99" s="266"/>
      <c r="T99" s="266"/>
      <c r="U99" s="266"/>
      <c r="V99" s="266"/>
      <c r="W99" s="266"/>
      <c r="X99" s="266"/>
      <c r="Y99" s="266"/>
      <c r="Z99" s="266">
        <f t="shared" si="40"/>
        <v>0</v>
      </c>
      <c r="AA99" s="997">
        <f t="shared" si="41"/>
        <v>0</v>
      </c>
      <c r="AB99" s="989">
        <f t="shared" si="49"/>
        <v>0</v>
      </c>
      <c r="AC99" s="989">
        <f t="shared" si="42"/>
        <v>187000</v>
      </c>
      <c r="AD99" s="996">
        <f t="shared" si="43"/>
        <v>187000</v>
      </c>
    </row>
    <row r="100" spans="1:30" s="987" customFormat="1" x14ac:dyDescent="0.25">
      <c r="A100" s="1180" t="s">
        <v>1273</v>
      </c>
      <c r="B100" s="1176"/>
      <c r="C100" s="1177"/>
      <c r="D100" s="1177"/>
      <c r="E100" s="1177"/>
      <c r="F100" s="1177"/>
      <c r="G100" s="1177">
        <v>188000</v>
      </c>
      <c r="H100" s="1177"/>
      <c r="I100" s="1177"/>
      <c r="J100" s="241">
        <f t="shared" si="38"/>
        <v>188000</v>
      </c>
      <c r="K100" s="241">
        <f t="shared" si="50"/>
        <v>188000</v>
      </c>
      <c r="L100" s="241">
        <f t="shared" si="47"/>
        <v>188000</v>
      </c>
      <c r="M100" s="989">
        <f t="shared" si="48"/>
        <v>188000</v>
      </c>
      <c r="N100" s="266"/>
      <c r="O100" s="266"/>
      <c r="P100" s="266"/>
      <c r="Q100" s="266"/>
      <c r="R100" s="266"/>
      <c r="S100" s="266"/>
      <c r="T100" s="266"/>
      <c r="U100" s="266"/>
      <c r="V100" s="266"/>
      <c r="W100" s="266"/>
      <c r="X100" s="266"/>
      <c r="Y100" s="266"/>
      <c r="Z100" s="266">
        <f t="shared" si="40"/>
        <v>0</v>
      </c>
      <c r="AA100" s="997">
        <f t="shared" si="41"/>
        <v>0</v>
      </c>
      <c r="AB100" s="989">
        <f t="shared" si="49"/>
        <v>0</v>
      </c>
      <c r="AC100" s="989">
        <f t="shared" si="42"/>
        <v>188000</v>
      </c>
      <c r="AD100" s="996">
        <f t="shared" si="43"/>
        <v>188000</v>
      </c>
    </row>
    <row r="101" spans="1:30" s="987" customFormat="1" x14ac:dyDescent="0.25">
      <c r="A101" s="1180" t="s">
        <v>1272</v>
      </c>
      <c r="B101" s="1176"/>
      <c r="C101" s="1177"/>
      <c r="D101" s="1177"/>
      <c r="E101" s="1177"/>
      <c r="F101" s="1177"/>
      <c r="G101" s="1177">
        <v>187927</v>
      </c>
      <c r="H101" s="1177"/>
      <c r="I101" s="1177"/>
      <c r="J101" s="241">
        <f t="shared" si="38"/>
        <v>187927</v>
      </c>
      <c r="K101" s="241">
        <f t="shared" si="50"/>
        <v>187927</v>
      </c>
      <c r="L101" s="241">
        <f t="shared" si="47"/>
        <v>187927</v>
      </c>
      <c r="M101" s="989">
        <f t="shared" si="48"/>
        <v>187927</v>
      </c>
      <c r="N101" s="266"/>
      <c r="O101" s="266"/>
      <c r="P101" s="266"/>
      <c r="Q101" s="266"/>
      <c r="R101" s="266"/>
      <c r="S101" s="266"/>
      <c r="T101" s="266"/>
      <c r="U101" s="266"/>
      <c r="V101" s="266"/>
      <c r="W101" s="266"/>
      <c r="X101" s="266"/>
      <c r="Y101" s="266"/>
      <c r="Z101" s="266">
        <f t="shared" si="40"/>
        <v>0</v>
      </c>
      <c r="AA101" s="997">
        <f t="shared" si="41"/>
        <v>0</v>
      </c>
      <c r="AB101" s="989">
        <f t="shared" si="49"/>
        <v>0</v>
      </c>
      <c r="AC101" s="989">
        <f t="shared" si="42"/>
        <v>187927</v>
      </c>
      <c r="AD101" s="996">
        <f t="shared" si="43"/>
        <v>187927</v>
      </c>
    </row>
    <row r="102" spans="1:30" s="987" customFormat="1" x14ac:dyDescent="0.25">
      <c r="A102" s="1180" t="s">
        <v>1274</v>
      </c>
      <c r="B102" s="1176"/>
      <c r="C102" s="1177"/>
      <c r="D102" s="1177"/>
      <c r="E102" s="1177"/>
      <c r="F102" s="1177"/>
      <c r="G102" s="1177">
        <v>100000</v>
      </c>
      <c r="H102" s="1177"/>
      <c r="I102" s="1177"/>
      <c r="J102" s="241">
        <f t="shared" si="38"/>
        <v>100000</v>
      </c>
      <c r="K102" s="241">
        <f t="shared" si="50"/>
        <v>100000</v>
      </c>
      <c r="L102" s="241">
        <f t="shared" si="47"/>
        <v>100000</v>
      </c>
      <c r="M102" s="989">
        <f t="shared" si="48"/>
        <v>100000</v>
      </c>
      <c r="N102" s="266"/>
      <c r="O102" s="266"/>
      <c r="P102" s="266"/>
      <c r="Q102" s="266"/>
      <c r="R102" s="266"/>
      <c r="S102" s="266"/>
      <c r="T102" s="266"/>
      <c r="U102" s="266"/>
      <c r="V102" s="266"/>
      <c r="W102" s="266"/>
      <c r="X102" s="266"/>
      <c r="Y102" s="266"/>
      <c r="Z102" s="266">
        <f t="shared" si="40"/>
        <v>0</v>
      </c>
      <c r="AA102" s="997">
        <f t="shared" si="41"/>
        <v>0</v>
      </c>
      <c r="AB102" s="989">
        <f t="shared" si="49"/>
        <v>0</v>
      </c>
      <c r="AC102" s="989">
        <f t="shared" si="42"/>
        <v>100000</v>
      </c>
      <c r="AD102" s="996">
        <f t="shared" si="43"/>
        <v>100000</v>
      </c>
    </row>
    <row r="103" spans="1:30" s="987" customFormat="1" x14ac:dyDescent="0.25">
      <c r="A103" s="1180" t="s">
        <v>1275</v>
      </c>
      <c r="B103" s="1176"/>
      <c r="C103" s="1177"/>
      <c r="D103" s="1177"/>
      <c r="E103" s="1177"/>
      <c r="F103" s="1177"/>
      <c r="G103" s="1177">
        <v>90000</v>
      </c>
      <c r="H103" s="1177"/>
      <c r="I103" s="1177"/>
      <c r="J103" s="241">
        <f t="shared" si="38"/>
        <v>90000</v>
      </c>
      <c r="K103" s="241">
        <f t="shared" si="50"/>
        <v>90000</v>
      </c>
      <c r="L103" s="241">
        <f t="shared" si="47"/>
        <v>90000</v>
      </c>
      <c r="M103" s="989">
        <f t="shared" si="48"/>
        <v>90000</v>
      </c>
      <c r="N103" s="266"/>
      <c r="O103" s="266"/>
      <c r="P103" s="266"/>
      <c r="Q103" s="266"/>
      <c r="R103" s="266"/>
      <c r="S103" s="266"/>
      <c r="T103" s="266"/>
      <c r="U103" s="266"/>
      <c r="V103" s="266"/>
      <c r="W103" s="266"/>
      <c r="X103" s="266"/>
      <c r="Y103" s="266"/>
      <c r="Z103" s="266">
        <f t="shared" si="40"/>
        <v>0</v>
      </c>
      <c r="AA103" s="997">
        <f t="shared" si="41"/>
        <v>0</v>
      </c>
      <c r="AB103" s="989">
        <f t="shared" si="49"/>
        <v>0</v>
      </c>
      <c r="AC103" s="989">
        <f t="shared" si="42"/>
        <v>90000</v>
      </c>
      <c r="AD103" s="996">
        <f t="shared" si="43"/>
        <v>90000</v>
      </c>
    </row>
    <row r="104" spans="1:30" s="987" customFormat="1" x14ac:dyDescent="0.25">
      <c r="A104" s="1181" t="s">
        <v>1277</v>
      </c>
      <c r="B104" s="1176" t="s">
        <v>1309</v>
      </c>
      <c r="C104" s="1177"/>
      <c r="D104" s="1177"/>
      <c r="E104" s="1177"/>
      <c r="F104" s="1177"/>
      <c r="G104" s="1177"/>
      <c r="H104" s="1177"/>
      <c r="I104" s="1177"/>
      <c r="J104" s="241">
        <f t="shared" si="38"/>
        <v>0</v>
      </c>
      <c r="K104" s="241">
        <f t="shared" si="50"/>
        <v>0</v>
      </c>
      <c r="L104" s="241">
        <f t="shared" si="47"/>
        <v>0</v>
      </c>
      <c r="M104" s="989">
        <f t="shared" si="48"/>
        <v>0</v>
      </c>
      <c r="N104" s="266"/>
      <c r="O104" s="266"/>
      <c r="P104" s="266"/>
      <c r="Q104" s="266"/>
      <c r="R104" s="266"/>
      <c r="S104" s="266"/>
      <c r="T104" s="266"/>
      <c r="U104" s="266"/>
      <c r="V104" s="266"/>
      <c r="W104" s="266"/>
      <c r="X104" s="266"/>
      <c r="Y104" s="266"/>
      <c r="Z104" s="266">
        <f t="shared" si="40"/>
        <v>0</v>
      </c>
      <c r="AA104" s="997">
        <f t="shared" si="41"/>
        <v>0</v>
      </c>
      <c r="AB104" s="989">
        <f t="shared" si="49"/>
        <v>0</v>
      </c>
      <c r="AC104" s="989">
        <f t="shared" si="42"/>
        <v>0</v>
      </c>
      <c r="AD104" s="996">
        <f t="shared" si="43"/>
        <v>0</v>
      </c>
    </row>
    <row r="105" spans="1:30" s="987" customFormat="1" ht="26.25" x14ac:dyDescent="0.25">
      <c r="A105" s="1184" t="s">
        <v>1276</v>
      </c>
      <c r="B105" s="1176"/>
      <c r="C105" s="1177"/>
      <c r="D105" s="1177"/>
      <c r="E105" s="1177"/>
      <c r="F105" s="1177"/>
      <c r="G105" s="1177">
        <v>600000</v>
      </c>
      <c r="H105" s="1177"/>
      <c r="I105" s="1177">
        <f>-600000</f>
        <v>-600000</v>
      </c>
      <c r="J105" s="241">
        <f t="shared" si="38"/>
        <v>0</v>
      </c>
      <c r="K105" s="241">
        <f t="shared" si="50"/>
        <v>0</v>
      </c>
      <c r="L105" s="241">
        <f t="shared" si="47"/>
        <v>0</v>
      </c>
      <c r="M105" s="989">
        <f t="shared" si="48"/>
        <v>0</v>
      </c>
      <c r="N105" s="266"/>
      <c r="O105" s="266"/>
      <c r="P105" s="266"/>
      <c r="Q105" s="266"/>
      <c r="R105" s="266"/>
      <c r="S105" s="266"/>
      <c r="T105" s="266"/>
      <c r="U105" s="266"/>
      <c r="V105" s="266"/>
      <c r="W105" s="266"/>
      <c r="X105" s="266"/>
      <c r="Y105" s="266"/>
      <c r="Z105" s="266">
        <f t="shared" si="40"/>
        <v>0</v>
      </c>
      <c r="AA105" s="997">
        <f t="shared" si="41"/>
        <v>0</v>
      </c>
      <c r="AB105" s="989">
        <f t="shared" si="49"/>
        <v>0</v>
      </c>
      <c r="AC105" s="989">
        <f t="shared" si="42"/>
        <v>0</v>
      </c>
      <c r="AD105" s="996">
        <f t="shared" si="43"/>
        <v>0</v>
      </c>
    </row>
    <row r="106" spans="1:30" s="987" customFormat="1" x14ac:dyDescent="0.25">
      <c r="A106" s="1185" t="s">
        <v>1278</v>
      </c>
      <c r="B106" s="1176"/>
      <c r="C106" s="1177"/>
      <c r="D106" s="1177"/>
      <c r="E106" s="1177"/>
      <c r="F106" s="1177"/>
      <c r="G106" s="1177">
        <v>100000</v>
      </c>
      <c r="H106" s="1177"/>
      <c r="I106" s="1177"/>
      <c r="J106" s="241">
        <f t="shared" si="38"/>
        <v>100000</v>
      </c>
      <c r="K106" s="241">
        <f t="shared" si="50"/>
        <v>100000</v>
      </c>
      <c r="L106" s="241">
        <f t="shared" si="47"/>
        <v>100000</v>
      </c>
      <c r="M106" s="989">
        <f t="shared" si="48"/>
        <v>100000</v>
      </c>
      <c r="N106" s="266"/>
      <c r="O106" s="266"/>
      <c r="P106" s="266"/>
      <c r="Q106" s="266"/>
      <c r="R106" s="266"/>
      <c r="S106" s="266"/>
      <c r="T106" s="266"/>
      <c r="U106" s="266"/>
      <c r="V106" s="266"/>
      <c r="W106" s="266"/>
      <c r="X106" s="266"/>
      <c r="Y106" s="266"/>
      <c r="Z106" s="266">
        <f t="shared" si="40"/>
        <v>0</v>
      </c>
      <c r="AA106" s="997">
        <f t="shared" si="41"/>
        <v>0</v>
      </c>
      <c r="AB106" s="989">
        <f t="shared" si="49"/>
        <v>0</v>
      </c>
      <c r="AC106" s="989">
        <f t="shared" si="42"/>
        <v>100000</v>
      </c>
      <c r="AD106" s="996">
        <f t="shared" si="43"/>
        <v>100000</v>
      </c>
    </row>
    <row r="107" spans="1:30" s="987" customFormat="1" x14ac:dyDescent="0.25">
      <c r="A107" s="1183" t="s">
        <v>1279</v>
      </c>
      <c r="B107" s="1176" t="s">
        <v>654</v>
      </c>
      <c r="C107" s="1177"/>
      <c r="D107" s="1177"/>
      <c r="E107" s="1177"/>
      <c r="F107" s="1177"/>
      <c r="G107" s="1177"/>
      <c r="H107" s="1177"/>
      <c r="I107" s="1177"/>
      <c r="J107" s="241">
        <f t="shared" si="38"/>
        <v>0</v>
      </c>
      <c r="K107" s="241">
        <f t="shared" si="50"/>
        <v>0</v>
      </c>
      <c r="L107" s="241">
        <f t="shared" si="47"/>
        <v>0</v>
      </c>
      <c r="M107" s="989">
        <f t="shared" si="48"/>
        <v>0</v>
      </c>
      <c r="N107" s="266"/>
      <c r="O107" s="266"/>
      <c r="P107" s="266"/>
      <c r="Q107" s="266"/>
      <c r="R107" s="266"/>
      <c r="S107" s="266"/>
      <c r="T107" s="266"/>
      <c r="U107" s="266"/>
      <c r="V107" s="266"/>
      <c r="W107" s="266"/>
      <c r="X107" s="266"/>
      <c r="Y107" s="266"/>
      <c r="Z107" s="266">
        <f t="shared" si="40"/>
        <v>0</v>
      </c>
      <c r="AA107" s="997">
        <f t="shared" si="41"/>
        <v>0</v>
      </c>
      <c r="AB107" s="989">
        <f t="shared" si="49"/>
        <v>0</v>
      </c>
      <c r="AC107" s="989">
        <f t="shared" si="42"/>
        <v>0</v>
      </c>
      <c r="AD107" s="996">
        <f t="shared" si="43"/>
        <v>0</v>
      </c>
    </row>
    <row r="108" spans="1:30" s="987" customFormat="1" x14ac:dyDescent="0.25">
      <c r="A108" s="1186" t="s">
        <v>1280</v>
      </c>
      <c r="B108" s="1176"/>
      <c r="C108" s="1177"/>
      <c r="D108" s="1177"/>
      <c r="E108" s="1177"/>
      <c r="F108" s="1177"/>
      <c r="G108" s="1177">
        <v>600000</v>
      </c>
      <c r="H108" s="1177"/>
      <c r="I108" s="1177"/>
      <c r="J108" s="241">
        <f t="shared" si="38"/>
        <v>600000</v>
      </c>
      <c r="K108" s="241">
        <f t="shared" si="50"/>
        <v>600000</v>
      </c>
      <c r="L108" s="241">
        <f t="shared" si="47"/>
        <v>600000</v>
      </c>
      <c r="M108" s="989">
        <f t="shared" si="48"/>
        <v>600000</v>
      </c>
      <c r="N108" s="266"/>
      <c r="O108" s="266"/>
      <c r="P108" s="266"/>
      <c r="Q108" s="266"/>
      <c r="R108" s="266"/>
      <c r="S108" s="266"/>
      <c r="T108" s="266"/>
      <c r="U108" s="266"/>
      <c r="V108" s="266">
        <f>448260</f>
        <v>448260</v>
      </c>
      <c r="W108" s="266">
        <v>150400</v>
      </c>
      <c r="X108" s="266"/>
      <c r="Y108" s="266"/>
      <c r="Z108" s="266">
        <f t="shared" si="40"/>
        <v>448260</v>
      </c>
      <c r="AA108" s="997">
        <f t="shared" si="41"/>
        <v>150400</v>
      </c>
      <c r="AB108" s="989">
        <f t="shared" si="49"/>
        <v>598660</v>
      </c>
      <c r="AC108" s="989">
        <f t="shared" si="42"/>
        <v>1340</v>
      </c>
      <c r="AD108" s="1230">
        <f t="shared" si="43"/>
        <v>1340</v>
      </c>
    </row>
    <row r="109" spans="1:30" s="987" customFormat="1" x14ac:dyDescent="0.25">
      <c r="A109" s="1186" t="s">
        <v>1281</v>
      </c>
      <c r="B109" s="1176"/>
      <c r="C109" s="1177"/>
      <c r="D109" s="1177"/>
      <c r="E109" s="1177"/>
      <c r="F109" s="1177"/>
      <c r="G109" s="1177">
        <v>500000</v>
      </c>
      <c r="H109" s="1177"/>
      <c r="I109" s="1177"/>
      <c r="J109" s="241">
        <f t="shared" si="38"/>
        <v>500000</v>
      </c>
      <c r="K109" s="241">
        <f t="shared" si="50"/>
        <v>500000</v>
      </c>
      <c r="L109" s="241">
        <f t="shared" si="47"/>
        <v>500000</v>
      </c>
      <c r="M109" s="989">
        <f t="shared" si="48"/>
        <v>500000</v>
      </c>
      <c r="N109" s="266"/>
      <c r="O109" s="266"/>
      <c r="P109" s="266"/>
      <c r="Q109" s="266"/>
      <c r="R109" s="266"/>
      <c r="S109" s="266"/>
      <c r="T109" s="266"/>
      <c r="U109" s="266"/>
      <c r="V109" s="266">
        <f>357755</f>
        <v>357755</v>
      </c>
      <c r="W109" s="266"/>
      <c r="X109" s="266"/>
      <c r="Y109" s="266"/>
      <c r="Z109" s="266">
        <f t="shared" si="40"/>
        <v>357755</v>
      </c>
      <c r="AA109" s="997">
        <f t="shared" si="41"/>
        <v>0</v>
      </c>
      <c r="AB109" s="989">
        <f t="shared" si="49"/>
        <v>357755</v>
      </c>
      <c r="AC109" s="989">
        <f t="shared" si="42"/>
        <v>142245</v>
      </c>
      <c r="AD109" s="1230">
        <f t="shared" si="43"/>
        <v>142245</v>
      </c>
    </row>
    <row r="110" spans="1:30" s="987" customFormat="1" x14ac:dyDescent="0.25">
      <c r="A110" s="1182" t="s">
        <v>1282</v>
      </c>
      <c r="B110" s="1176"/>
      <c r="C110" s="1177"/>
      <c r="D110" s="1177"/>
      <c r="E110" s="1177"/>
      <c r="F110" s="1177"/>
      <c r="G110" s="1177">
        <v>350000</v>
      </c>
      <c r="H110" s="1177"/>
      <c r="I110" s="1177"/>
      <c r="J110" s="241">
        <f t="shared" si="38"/>
        <v>350000</v>
      </c>
      <c r="K110" s="241">
        <f t="shared" si="50"/>
        <v>350000</v>
      </c>
      <c r="L110" s="241">
        <f t="shared" si="47"/>
        <v>350000</v>
      </c>
      <c r="M110" s="989">
        <f t="shared" si="48"/>
        <v>350000</v>
      </c>
      <c r="N110" s="266"/>
      <c r="O110" s="266"/>
      <c r="P110" s="266"/>
      <c r="Q110" s="266"/>
      <c r="R110" s="266"/>
      <c r="S110" s="266"/>
      <c r="T110" s="266"/>
      <c r="U110" s="266"/>
      <c r="V110" s="266"/>
      <c r="W110" s="266"/>
      <c r="X110" s="266"/>
      <c r="Y110" s="266"/>
      <c r="Z110" s="266">
        <f t="shared" si="40"/>
        <v>0</v>
      </c>
      <c r="AA110" s="997">
        <f t="shared" si="41"/>
        <v>0</v>
      </c>
      <c r="AB110" s="989">
        <f t="shared" si="49"/>
        <v>0</v>
      </c>
      <c r="AC110" s="989">
        <f t="shared" si="42"/>
        <v>350000</v>
      </c>
      <c r="AD110" s="1230">
        <f t="shared" si="43"/>
        <v>350000</v>
      </c>
    </row>
    <row r="111" spans="1:30" s="987" customFormat="1" x14ac:dyDescent="0.25">
      <c r="A111" s="1182" t="s">
        <v>1283</v>
      </c>
      <c r="B111" s="1176"/>
      <c r="C111" s="1177"/>
      <c r="D111" s="1177"/>
      <c r="E111" s="1177"/>
      <c r="F111" s="1177"/>
      <c r="G111" s="1177">
        <v>700000</v>
      </c>
      <c r="H111" s="1177"/>
      <c r="I111" s="1177"/>
      <c r="J111" s="241">
        <f t="shared" si="38"/>
        <v>700000</v>
      </c>
      <c r="K111" s="241">
        <f t="shared" si="50"/>
        <v>700000</v>
      </c>
      <c r="L111" s="241">
        <f t="shared" si="47"/>
        <v>700000</v>
      </c>
      <c r="M111" s="989">
        <f t="shared" si="48"/>
        <v>700000</v>
      </c>
      <c r="N111" s="266"/>
      <c r="O111" s="266"/>
      <c r="P111" s="266"/>
      <c r="Q111" s="266"/>
      <c r="R111" s="266"/>
      <c r="S111" s="266"/>
      <c r="T111" s="266"/>
      <c r="U111" s="266"/>
      <c r="V111" s="266">
        <f>191250+507820</f>
        <v>699070</v>
      </c>
      <c r="W111" s="266"/>
      <c r="X111" s="266"/>
      <c r="Y111" s="266"/>
      <c r="Z111" s="266">
        <f t="shared" si="40"/>
        <v>699070</v>
      </c>
      <c r="AA111" s="997">
        <f t="shared" si="41"/>
        <v>0</v>
      </c>
      <c r="AB111" s="989">
        <f t="shared" si="49"/>
        <v>699070</v>
      </c>
      <c r="AC111" s="989">
        <f t="shared" si="42"/>
        <v>930</v>
      </c>
      <c r="AD111" s="1230">
        <f t="shared" si="43"/>
        <v>930</v>
      </c>
    </row>
    <row r="112" spans="1:30" s="987" customFormat="1" x14ac:dyDescent="0.25">
      <c r="A112" s="1186" t="s">
        <v>1284</v>
      </c>
      <c r="B112" s="1176"/>
      <c r="C112" s="1177"/>
      <c r="D112" s="1177"/>
      <c r="E112" s="1177"/>
      <c r="F112" s="1177"/>
      <c r="G112" s="1177">
        <v>300000</v>
      </c>
      <c r="H112" s="1177"/>
      <c r="I112" s="1177"/>
      <c r="J112" s="241">
        <f t="shared" si="38"/>
        <v>300000</v>
      </c>
      <c r="K112" s="241">
        <f t="shared" si="50"/>
        <v>300000</v>
      </c>
      <c r="L112" s="241">
        <f t="shared" si="47"/>
        <v>300000</v>
      </c>
      <c r="M112" s="989">
        <f t="shared" si="48"/>
        <v>300000</v>
      </c>
      <c r="N112" s="266"/>
      <c r="O112" s="266"/>
      <c r="P112" s="266"/>
      <c r="Q112" s="266"/>
      <c r="R112" s="266"/>
      <c r="S112" s="266"/>
      <c r="T112" s="266"/>
      <c r="U112" s="266"/>
      <c r="V112" s="266"/>
      <c r="W112" s="266">
        <v>228652</v>
      </c>
      <c r="X112" s="266"/>
      <c r="Y112" s="266"/>
      <c r="Z112" s="266">
        <f t="shared" si="40"/>
        <v>0</v>
      </c>
      <c r="AA112" s="997">
        <f t="shared" si="41"/>
        <v>228652</v>
      </c>
      <c r="AB112" s="989">
        <f t="shared" si="49"/>
        <v>228652</v>
      </c>
      <c r="AC112" s="989">
        <f t="shared" si="42"/>
        <v>71348</v>
      </c>
      <c r="AD112" s="1230">
        <f t="shared" si="43"/>
        <v>71348</v>
      </c>
    </row>
    <row r="113" spans="1:30" s="987" customFormat="1" x14ac:dyDescent="0.25">
      <c r="A113" s="1186" t="s">
        <v>1285</v>
      </c>
      <c r="B113" s="1176"/>
      <c r="C113" s="1177"/>
      <c r="D113" s="1177"/>
      <c r="E113" s="1177"/>
      <c r="F113" s="1177"/>
      <c r="G113" s="1177">
        <v>75000</v>
      </c>
      <c r="H113" s="1177"/>
      <c r="I113" s="1177"/>
      <c r="J113" s="241">
        <f t="shared" si="38"/>
        <v>75000</v>
      </c>
      <c r="K113" s="241">
        <f t="shared" si="50"/>
        <v>75000</v>
      </c>
      <c r="L113" s="241">
        <f t="shared" si="47"/>
        <v>75000</v>
      </c>
      <c r="M113" s="989">
        <f t="shared" si="48"/>
        <v>75000</v>
      </c>
      <c r="N113" s="266"/>
      <c r="O113" s="266"/>
      <c r="P113" s="266"/>
      <c r="Q113" s="266"/>
      <c r="R113" s="266"/>
      <c r="S113" s="266"/>
      <c r="T113" s="266"/>
      <c r="U113" s="266"/>
      <c r="V113" s="266"/>
      <c r="W113" s="266"/>
      <c r="X113" s="266"/>
      <c r="Y113" s="266"/>
      <c r="Z113" s="266">
        <f t="shared" si="40"/>
        <v>0</v>
      </c>
      <c r="AA113" s="997">
        <f t="shared" si="41"/>
        <v>0</v>
      </c>
      <c r="AB113" s="989">
        <f t="shared" si="49"/>
        <v>0</v>
      </c>
      <c r="AC113" s="989">
        <f t="shared" si="42"/>
        <v>75000</v>
      </c>
      <c r="AD113" s="1230">
        <f t="shared" si="43"/>
        <v>75000</v>
      </c>
    </row>
    <row r="114" spans="1:30" s="987" customFormat="1" x14ac:dyDescent="0.25">
      <c r="A114" s="1186" t="s">
        <v>1286</v>
      </c>
      <c r="B114" s="1176"/>
      <c r="C114" s="1177"/>
      <c r="D114" s="1177"/>
      <c r="E114" s="1177"/>
      <c r="F114" s="1177"/>
      <c r="G114" s="1177">
        <v>75000</v>
      </c>
      <c r="H114" s="1177"/>
      <c r="I114" s="1177"/>
      <c r="J114" s="241">
        <f t="shared" si="38"/>
        <v>75000</v>
      </c>
      <c r="K114" s="241">
        <f t="shared" si="50"/>
        <v>75000</v>
      </c>
      <c r="L114" s="241">
        <f t="shared" si="47"/>
        <v>75000</v>
      </c>
      <c r="M114" s="989">
        <f t="shared" si="48"/>
        <v>75000</v>
      </c>
      <c r="N114" s="266"/>
      <c r="O114" s="266"/>
      <c r="P114" s="266"/>
      <c r="Q114" s="266"/>
      <c r="R114" s="266"/>
      <c r="S114" s="266"/>
      <c r="T114" s="266"/>
      <c r="U114" s="266"/>
      <c r="V114" s="266"/>
      <c r="W114" s="266"/>
      <c r="X114" s="266"/>
      <c r="Y114" s="266"/>
      <c r="Z114" s="266">
        <f t="shared" si="40"/>
        <v>0</v>
      </c>
      <c r="AA114" s="997">
        <f t="shared" si="41"/>
        <v>0</v>
      </c>
      <c r="AB114" s="989">
        <f t="shared" si="49"/>
        <v>0</v>
      </c>
      <c r="AC114" s="989">
        <f t="shared" si="42"/>
        <v>75000</v>
      </c>
      <c r="AD114" s="1230">
        <f t="shared" si="43"/>
        <v>75000</v>
      </c>
    </row>
    <row r="115" spans="1:30" s="987" customFormat="1" x14ac:dyDescent="0.25">
      <c r="A115" s="1186" t="s">
        <v>1287</v>
      </c>
      <c r="B115" s="1176"/>
      <c r="C115" s="1177"/>
      <c r="D115" s="1177"/>
      <c r="E115" s="1177"/>
      <c r="F115" s="1177"/>
      <c r="G115" s="1177">
        <v>100000</v>
      </c>
      <c r="H115" s="1177"/>
      <c r="I115" s="1177"/>
      <c r="J115" s="241">
        <f t="shared" si="38"/>
        <v>100000</v>
      </c>
      <c r="K115" s="241">
        <f t="shared" si="50"/>
        <v>100000</v>
      </c>
      <c r="L115" s="241">
        <f t="shared" si="47"/>
        <v>100000</v>
      </c>
      <c r="M115" s="989">
        <f t="shared" si="48"/>
        <v>100000</v>
      </c>
      <c r="N115" s="266"/>
      <c r="O115" s="266"/>
      <c r="P115" s="266"/>
      <c r="Q115" s="266"/>
      <c r="R115" s="266"/>
      <c r="S115" s="266"/>
      <c r="T115" s="266"/>
      <c r="U115" s="266"/>
      <c r="V115" s="266"/>
      <c r="W115" s="266">
        <v>74350</v>
      </c>
      <c r="X115" s="266"/>
      <c r="Y115" s="266"/>
      <c r="Z115" s="266">
        <f t="shared" si="40"/>
        <v>0</v>
      </c>
      <c r="AA115" s="997">
        <f t="shared" si="41"/>
        <v>74350</v>
      </c>
      <c r="AB115" s="989">
        <f t="shared" si="49"/>
        <v>74350</v>
      </c>
      <c r="AC115" s="989">
        <f t="shared" si="42"/>
        <v>25650</v>
      </c>
      <c r="AD115" s="996">
        <f t="shared" si="43"/>
        <v>25650</v>
      </c>
    </row>
    <row r="116" spans="1:30" s="987" customFormat="1" x14ac:dyDescent="0.25">
      <c r="A116" s="1186" t="s">
        <v>1288</v>
      </c>
      <c r="B116" s="1176"/>
      <c r="C116" s="1177"/>
      <c r="D116" s="1177"/>
      <c r="E116" s="1177"/>
      <c r="F116" s="1177"/>
      <c r="G116" s="1177">
        <v>100000</v>
      </c>
      <c r="H116" s="1177"/>
      <c r="I116" s="1177"/>
      <c r="J116" s="241">
        <f t="shared" si="38"/>
        <v>100000</v>
      </c>
      <c r="K116" s="241">
        <f t="shared" si="50"/>
        <v>100000</v>
      </c>
      <c r="L116" s="241">
        <f t="shared" si="47"/>
        <v>100000</v>
      </c>
      <c r="M116" s="989">
        <f t="shared" si="48"/>
        <v>100000</v>
      </c>
      <c r="N116" s="266"/>
      <c r="O116" s="266"/>
      <c r="P116" s="266"/>
      <c r="Q116" s="266"/>
      <c r="R116" s="266"/>
      <c r="S116" s="266"/>
      <c r="T116" s="266"/>
      <c r="U116" s="266"/>
      <c r="V116" s="266"/>
      <c r="W116" s="266"/>
      <c r="X116" s="266"/>
      <c r="Y116" s="266"/>
      <c r="Z116" s="266">
        <f t="shared" si="40"/>
        <v>0</v>
      </c>
      <c r="AA116" s="997">
        <f t="shared" si="41"/>
        <v>0</v>
      </c>
      <c r="AB116" s="989">
        <f t="shared" si="49"/>
        <v>0</v>
      </c>
      <c r="AC116" s="989">
        <f t="shared" si="42"/>
        <v>100000</v>
      </c>
      <c r="AD116" s="996">
        <f t="shared" si="43"/>
        <v>100000</v>
      </c>
    </row>
    <row r="117" spans="1:30" s="987" customFormat="1" x14ac:dyDescent="0.25">
      <c r="A117" s="1186" t="s">
        <v>1289</v>
      </c>
      <c r="B117" s="1176"/>
      <c r="C117" s="1177"/>
      <c r="D117" s="1177"/>
      <c r="E117" s="1177"/>
      <c r="F117" s="1177"/>
      <c r="G117" s="1177">
        <v>100000</v>
      </c>
      <c r="H117" s="1177"/>
      <c r="I117" s="1177"/>
      <c r="J117" s="241">
        <f t="shared" si="38"/>
        <v>100000</v>
      </c>
      <c r="K117" s="241">
        <f t="shared" si="50"/>
        <v>100000</v>
      </c>
      <c r="L117" s="241">
        <f t="shared" si="47"/>
        <v>100000</v>
      </c>
      <c r="M117" s="989">
        <f t="shared" si="48"/>
        <v>100000</v>
      </c>
      <c r="N117" s="266"/>
      <c r="O117" s="266"/>
      <c r="P117" s="266"/>
      <c r="Q117" s="266"/>
      <c r="R117" s="266"/>
      <c r="S117" s="266"/>
      <c r="T117" s="266"/>
      <c r="U117" s="266"/>
      <c r="V117" s="266"/>
      <c r="W117" s="266">
        <v>70520</v>
      </c>
      <c r="X117" s="266"/>
      <c r="Y117" s="266"/>
      <c r="Z117" s="266">
        <f t="shared" si="40"/>
        <v>0</v>
      </c>
      <c r="AA117" s="997">
        <f t="shared" si="41"/>
        <v>70520</v>
      </c>
      <c r="AB117" s="989">
        <f t="shared" si="49"/>
        <v>70520</v>
      </c>
      <c r="AC117" s="989">
        <f t="shared" si="42"/>
        <v>29480</v>
      </c>
      <c r="AD117" s="996">
        <f t="shared" si="43"/>
        <v>29480</v>
      </c>
    </row>
    <row r="118" spans="1:30" s="987" customFormat="1" x14ac:dyDescent="0.25">
      <c r="A118" s="1186" t="s">
        <v>1290</v>
      </c>
      <c r="B118" s="1176"/>
      <c r="C118" s="1177"/>
      <c r="D118" s="1177"/>
      <c r="E118" s="1177"/>
      <c r="F118" s="1177"/>
      <c r="G118" s="1177">
        <v>250000</v>
      </c>
      <c r="H118" s="1177"/>
      <c r="I118" s="1177"/>
      <c r="J118" s="241">
        <f t="shared" si="38"/>
        <v>250000</v>
      </c>
      <c r="K118" s="241">
        <f t="shared" si="50"/>
        <v>250000</v>
      </c>
      <c r="L118" s="241">
        <f t="shared" si="47"/>
        <v>250000</v>
      </c>
      <c r="M118" s="989">
        <f t="shared" si="48"/>
        <v>250000</v>
      </c>
      <c r="N118" s="266"/>
      <c r="O118" s="266"/>
      <c r="P118" s="266"/>
      <c r="Q118" s="266"/>
      <c r="R118" s="266"/>
      <c r="S118" s="266"/>
      <c r="T118" s="266">
        <v>182925</v>
      </c>
      <c r="U118" s="266">
        <v>66725</v>
      </c>
      <c r="V118" s="266"/>
      <c r="W118" s="266"/>
      <c r="X118" s="266"/>
      <c r="Y118" s="266"/>
      <c r="Z118" s="266">
        <f t="shared" si="40"/>
        <v>249650</v>
      </c>
      <c r="AA118" s="997">
        <f t="shared" si="41"/>
        <v>0</v>
      </c>
      <c r="AB118" s="989">
        <f t="shared" si="49"/>
        <v>249650</v>
      </c>
      <c r="AC118" s="989">
        <f t="shared" si="42"/>
        <v>350</v>
      </c>
      <c r="AD118" s="996">
        <f t="shared" si="43"/>
        <v>350</v>
      </c>
    </row>
    <row r="119" spans="1:30" s="987" customFormat="1" ht="26.25" x14ac:dyDescent="0.25">
      <c r="A119" s="1128" t="s">
        <v>1291</v>
      </c>
      <c r="B119" s="924"/>
      <c r="C119" s="241"/>
      <c r="D119" s="241"/>
      <c r="E119" s="241"/>
      <c r="F119" s="241"/>
      <c r="G119" s="241">
        <v>700000</v>
      </c>
      <c r="H119" s="241"/>
      <c r="I119" s="241"/>
      <c r="J119" s="241">
        <f t="shared" si="38"/>
        <v>700000</v>
      </c>
      <c r="K119" s="241">
        <f t="shared" si="50"/>
        <v>700000</v>
      </c>
      <c r="L119" s="241">
        <f t="shared" si="47"/>
        <v>700000</v>
      </c>
      <c r="M119" s="989">
        <f t="shared" si="48"/>
        <v>700000</v>
      </c>
      <c r="N119" s="266"/>
      <c r="O119" s="266"/>
      <c r="P119" s="266"/>
      <c r="Q119" s="266"/>
      <c r="R119" s="266"/>
      <c r="S119" s="266"/>
      <c r="T119" s="266"/>
      <c r="U119" s="266"/>
      <c r="V119" s="266"/>
      <c r="W119" s="266"/>
      <c r="X119" s="266"/>
      <c r="Y119" s="266"/>
      <c r="Z119" s="266">
        <f t="shared" si="40"/>
        <v>0</v>
      </c>
      <c r="AA119" s="997">
        <f t="shared" si="41"/>
        <v>0</v>
      </c>
      <c r="AB119" s="989">
        <f t="shared" si="49"/>
        <v>0</v>
      </c>
      <c r="AC119" s="989">
        <f t="shared" si="42"/>
        <v>700000</v>
      </c>
      <c r="AD119" s="996">
        <f t="shared" si="43"/>
        <v>700000</v>
      </c>
    </row>
    <row r="120" spans="1:30" s="987" customFormat="1" x14ac:dyDescent="0.25">
      <c r="A120" s="243" t="s">
        <v>1292</v>
      </c>
      <c r="B120" s="924"/>
      <c r="C120" s="241"/>
      <c r="D120" s="241"/>
      <c r="E120" s="241"/>
      <c r="F120" s="241"/>
      <c r="G120" s="241">
        <v>280000</v>
      </c>
      <c r="H120" s="241"/>
      <c r="I120" s="241"/>
      <c r="J120" s="241">
        <f t="shared" si="38"/>
        <v>280000</v>
      </c>
      <c r="K120" s="241">
        <f t="shared" si="50"/>
        <v>280000</v>
      </c>
      <c r="L120" s="241">
        <f t="shared" si="47"/>
        <v>280000</v>
      </c>
      <c r="M120" s="989">
        <f t="shared" si="48"/>
        <v>280000</v>
      </c>
      <c r="N120" s="266"/>
      <c r="O120" s="266"/>
      <c r="P120" s="266"/>
      <c r="Q120" s="266"/>
      <c r="R120" s="266"/>
      <c r="S120" s="266"/>
      <c r="T120" s="266"/>
      <c r="U120" s="266"/>
      <c r="V120" s="266"/>
      <c r="W120" s="266"/>
      <c r="X120" s="266"/>
      <c r="Y120" s="266"/>
      <c r="Z120" s="266">
        <f t="shared" si="40"/>
        <v>0</v>
      </c>
      <c r="AA120" s="997">
        <f t="shared" si="41"/>
        <v>0</v>
      </c>
      <c r="AB120" s="989">
        <f t="shared" si="49"/>
        <v>0</v>
      </c>
      <c r="AC120" s="989">
        <f t="shared" si="42"/>
        <v>280000</v>
      </c>
      <c r="AD120" s="996">
        <f t="shared" si="43"/>
        <v>280000</v>
      </c>
    </row>
    <row r="121" spans="1:30" x14ac:dyDescent="0.25">
      <c r="A121" s="243"/>
      <c r="B121" s="202"/>
      <c r="C121" s="241"/>
      <c r="D121" s="241"/>
      <c r="E121" s="241"/>
      <c r="F121" s="241"/>
      <c r="G121" s="241"/>
      <c r="H121" s="241"/>
      <c r="I121" s="241"/>
      <c r="J121" s="241">
        <f t="shared" si="38"/>
        <v>0</v>
      </c>
      <c r="K121" s="241">
        <f t="shared" si="39"/>
        <v>0</v>
      </c>
      <c r="L121" s="241">
        <f t="shared" si="47"/>
        <v>0</v>
      </c>
      <c r="M121" s="989">
        <f t="shared" si="48"/>
        <v>0</v>
      </c>
      <c r="N121" s="266"/>
      <c r="O121" s="266"/>
      <c r="P121" s="266"/>
      <c r="Q121" s="266"/>
      <c r="R121" s="266"/>
      <c r="S121" s="266"/>
      <c r="T121" s="266"/>
      <c r="U121" s="266"/>
      <c r="V121" s="266"/>
      <c r="W121" s="266"/>
      <c r="X121" s="266"/>
      <c r="Y121" s="266"/>
      <c r="Z121" s="266">
        <f t="shared" si="40"/>
        <v>0</v>
      </c>
      <c r="AA121" s="997">
        <f t="shared" si="41"/>
        <v>0</v>
      </c>
      <c r="AB121" s="989">
        <f t="shared" si="49"/>
        <v>0</v>
      </c>
      <c r="AC121" s="989">
        <f t="shared" si="42"/>
        <v>0</v>
      </c>
      <c r="AD121" s="996">
        <f t="shared" si="43"/>
        <v>0</v>
      </c>
    </row>
    <row r="122" spans="1:30" x14ac:dyDescent="0.25">
      <c r="A122" s="238" t="s">
        <v>1267</v>
      </c>
      <c r="B122" s="239"/>
      <c r="C122" s="648">
        <f t="shared" ref="C122:AD122" si="56">SUM(C73:C121)</f>
        <v>7500</v>
      </c>
      <c r="D122" s="648">
        <f t="shared" ref="D122" si="57">SUM(D73:D121)</f>
        <v>157523.6</v>
      </c>
      <c r="E122" s="648">
        <f t="shared" ref="E122" si="58">SUM(E73:E121)</f>
        <v>0</v>
      </c>
      <c r="F122" s="648">
        <f t="shared" si="56"/>
        <v>75000</v>
      </c>
      <c r="G122" s="648">
        <f t="shared" si="56"/>
        <v>13952927</v>
      </c>
      <c r="H122" s="648">
        <f t="shared" ref="H122" si="59">SUM(H73:H121)</f>
        <v>0</v>
      </c>
      <c r="I122" s="648">
        <f>SUM(I73:I121)</f>
        <v>-2000000</v>
      </c>
      <c r="J122" s="648">
        <f t="shared" si="56"/>
        <v>12192950.6</v>
      </c>
      <c r="K122" s="648">
        <f t="shared" si="56"/>
        <v>12035427</v>
      </c>
      <c r="L122" s="648">
        <f t="shared" si="56"/>
        <v>12192950.6</v>
      </c>
      <c r="M122" s="648">
        <f t="shared" si="56"/>
        <v>12192950.6</v>
      </c>
      <c r="N122" s="648">
        <f t="shared" si="56"/>
        <v>0</v>
      </c>
      <c r="O122" s="648">
        <f t="shared" si="56"/>
        <v>0</v>
      </c>
      <c r="P122" s="648">
        <f t="shared" si="56"/>
        <v>54140</v>
      </c>
      <c r="Q122" s="648">
        <f t="shared" si="56"/>
        <v>20700</v>
      </c>
      <c r="R122" s="648">
        <f t="shared" si="56"/>
        <v>0</v>
      </c>
      <c r="S122" s="648">
        <f t="shared" si="56"/>
        <v>7400</v>
      </c>
      <c r="T122" s="648">
        <f t="shared" si="56"/>
        <v>703880</v>
      </c>
      <c r="U122" s="648">
        <f t="shared" si="56"/>
        <v>406913.9</v>
      </c>
      <c r="V122" s="648">
        <f t="shared" si="56"/>
        <v>1872496.75</v>
      </c>
      <c r="W122" s="648">
        <f t="shared" si="56"/>
        <v>523922</v>
      </c>
      <c r="X122" s="648">
        <f t="shared" si="56"/>
        <v>0</v>
      </c>
      <c r="Y122" s="648">
        <f t="shared" si="56"/>
        <v>0</v>
      </c>
      <c r="Z122" s="648">
        <f t="shared" si="56"/>
        <v>3065530.65</v>
      </c>
      <c r="AA122" s="648">
        <f t="shared" si="56"/>
        <v>523922</v>
      </c>
      <c r="AB122" s="648">
        <f t="shared" si="56"/>
        <v>3589452.65</v>
      </c>
      <c r="AC122" s="648">
        <f t="shared" si="56"/>
        <v>8603497.9499999993</v>
      </c>
      <c r="AD122" s="648">
        <f t="shared" si="56"/>
        <v>8603497.9499999993</v>
      </c>
    </row>
    <row r="123" spans="1:30" x14ac:dyDescent="0.25">
      <c r="A123" s="238" t="s">
        <v>119</v>
      </c>
      <c r="B123" s="239"/>
      <c r="C123" s="648">
        <f t="shared" ref="C123:AD123" si="60">C70+C122</f>
        <v>3317716.51</v>
      </c>
      <c r="D123" s="648">
        <f t="shared" ref="D123" si="61">D70+D122</f>
        <v>157523.6</v>
      </c>
      <c r="E123" s="648">
        <f t="shared" ref="E123" si="62">E70+E122</f>
        <v>0</v>
      </c>
      <c r="F123" s="648">
        <f t="shared" si="60"/>
        <v>23755</v>
      </c>
      <c r="G123" s="648">
        <f t="shared" si="60"/>
        <v>13952927</v>
      </c>
      <c r="H123" s="648">
        <f t="shared" ref="H123" si="63">H70+H122</f>
        <v>0</v>
      </c>
      <c r="I123" s="648">
        <f t="shared" ref="I123" si="64">I70+I122</f>
        <v>-2000000</v>
      </c>
      <c r="J123" s="648">
        <f t="shared" si="60"/>
        <v>15451922.109999999</v>
      </c>
      <c r="K123" s="648">
        <f t="shared" si="60"/>
        <v>15294398.51</v>
      </c>
      <c r="L123" s="648">
        <f t="shared" si="60"/>
        <v>15451922.109999999</v>
      </c>
      <c r="M123" s="648">
        <f t="shared" si="60"/>
        <v>15451922.109999999</v>
      </c>
      <c r="N123" s="109">
        <f t="shared" si="60"/>
        <v>0</v>
      </c>
      <c r="O123" s="109">
        <f t="shared" si="60"/>
        <v>0</v>
      </c>
      <c r="P123" s="109">
        <f t="shared" si="60"/>
        <v>300770</v>
      </c>
      <c r="Q123" s="109">
        <f t="shared" si="60"/>
        <v>804905</v>
      </c>
      <c r="R123" s="109">
        <f t="shared" si="60"/>
        <v>297200</v>
      </c>
      <c r="S123" s="109">
        <f t="shared" si="60"/>
        <v>7400</v>
      </c>
      <c r="T123" s="109">
        <f t="shared" si="60"/>
        <v>1801905</v>
      </c>
      <c r="U123" s="109">
        <f t="shared" si="60"/>
        <v>406913.9</v>
      </c>
      <c r="V123" s="109">
        <f t="shared" si="60"/>
        <v>2324740.73</v>
      </c>
      <c r="W123" s="109">
        <f t="shared" si="60"/>
        <v>523922</v>
      </c>
      <c r="X123" s="109">
        <f t="shared" si="60"/>
        <v>0</v>
      </c>
      <c r="Y123" s="109">
        <f t="shared" si="60"/>
        <v>0</v>
      </c>
      <c r="Z123" s="109">
        <f t="shared" si="60"/>
        <v>5943834.6299999999</v>
      </c>
      <c r="AA123" s="648">
        <f t="shared" si="60"/>
        <v>523922</v>
      </c>
      <c r="AB123" s="648">
        <f t="shared" si="60"/>
        <v>6467756.6299999999</v>
      </c>
      <c r="AC123" s="648">
        <f t="shared" si="60"/>
        <v>8984165.4799999986</v>
      </c>
      <c r="AD123" s="648">
        <f t="shared" si="60"/>
        <v>8984165.4799999986</v>
      </c>
    </row>
    <row r="124" spans="1:30" ht="15.75" thickBot="1" x14ac:dyDescent="0.3">
      <c r="A124" s="247" t="s">
        <v>160</v>
      </c>
      <c r="B124" s="248"/>
      <c r="C124" s="649">
        <f t="shared" ref="C124:AD124" si="65">C30+C47+C123</f>
        <v>7315178.21</v>
      </c>
      <c r="D124" s="649">
        <f t="shared" ref="D124" si="66">D30+D47+D123</f>
        <v>157523.6</v>
      </c>
      <c r="E124" s="649">
        <f t="shared" ref="E124" si="67">E30+E47+E123</f>
        <v>219387.33000000002</v>
      </c>
      <c r="F124" s="649">
        <f t="shared" si="65"/>
        <v>23755</v>
      </c>
      <c r="G124" s="649">
        <f t="shared" si="65"/>
        <v>14027927</v>
      </c>
      <c r="H124" s="649">
        <f t="shared" ref="H124" si="68">H30+H47+H123</f>
        <v>7260</v>
      </c>
      <c r="I124" s="649">
        <f t="shared" ref="I124" si="69">I30+I47+I123</f>
        <v>-2000000</v>
      </c>
      <c r="J124" s="649">
        <f t="shared" si="65"/>
        <v>19751031.140000001</v>
      </c>
      <c r="K124" s="649">
        <f t="shared" si="65"/>
        <v>18522730.282499999</v>
      </c>
      <c r="L124" s="649">
        <f t="shared" si="65"/>
        <v>15803931.195833333</v>
      </c>
      <c r="M124" s="649">
        <f t="shared" si="65"/>
        <v>18976012.968333334</v>
      </c>
      <c r="N124" s="649">
        <f t="shared" si="65"/>
        <v>223931.82</v>
      </c>
      <c r="O124" s="649">
        <f t="shared" si="65"/>
        <v>235791.82</v>
      </c>
      <c r="P124" s="649">
        <f t="shared" si="65"/>
        <v>557807.80000000005</v>
      </c>
      <c r="Q124" s="649">
        <f t="shared" si="65"/>
        <v>1066076.74</v>
      </c>
      <c r="R124" s="649">
        <f t="shared" si="65"/>
        <v>683512.57000000007</v>
      </c>
      <c r="S124" s="649">
        <f t="shared" si="65"/>
        <v>282839.76</v>
      </c>
      <c r="T124" s="649">
        <f t="shared" si="65"/>
        <v>2042592.58</v>
      </c>
      <c r="U124" s="649">
        <f t="shared" si="65"/>
        <v>682526.02</v>
      </c>
      <c r="V124" s="649">
        <f t="shared" si="65"/>
        <v>2606532.2599999998</v>
      </c>
      <c r="W124" s="649">
        <f t="shared" si="65"/>
        <v>788882.95</v>
      </c>
      <c r="X124" s="649">
        <f t="shared" si="65"/>
        <v>0</v>
      </c>
      <c r="Y124" s="649">
        <f t="shared" si="65"/>
        <v>0</v>
      </c>
      <c r="Z124" s="649">
        <f t="shared" si="65"/>
        <v>8381611.3700000001</v>
      </c>
      <c r="AA124" s="649">
        <f t="shared" si="65"/>
        <v>788882.95</v>
      </c>
      <c r="AB124" s="649">
        <f t="shared" si="65"/>
        <v>9170494.3200000003</v>
      </c>
      <c r="AC124" s="649">
        <f t="shared" si="65"/>
        <v>9805518.6483333316</v>
      </c>
      <c r="AD124" s="649">
        <f t="shared" si="65"/>
        <v>10580536.819999998</v>
      </c>
    </row>
    <row r="125" spans="1:30" ht="15.75" thickTop="1" x14ac:dyDescent="0.25"/>
    <row r="126" spans="1:30" s="987" customFormat="1" x14ac:dyDescent="0.25">
      <c r="A126" s="987" t="s">
        <v>354</v>
      </c>
      <c r="B126" s="30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N126" s="650"/>
      <c r="O126" s="650"/>
      <c r="P126" s="650"/>
      <c r="Q126" s="650"/>
      <c r="R126" s="650"/>
      <c r="S126" s="650"/>
      <c r="T126" s="650"/>
      <c r="U126" s="650"/>
      <c r="V126" s="650"/>
      <c r="W126" s="650"/>
      <c r="X126" s="650"/>
      <c r="Y126" s="650"/>
      <c r="Z126" s="650"/>
      <c r="AC126" s="743" t="s">
        <v>357</v>
      </c>
    </row>
    <row r="127" spans="1:30" x14ac:dyDescent="0.25">
      <c r="B127" s="30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AC127" s="259"/>
    </row>
    <row r="128" spans="1:30" x14ac:dyDescent="0.25">
      <c r="B128" s="32"/>
      <c r="C128" s="36"/>
      <c r="D128" s="36"/>
      <c r="E128" s="36"/>
      <c r="F128" s="36"/>
      <c r="G128" s="36"/>
      <c r="H128" s="36"/>
      <c r="I128" s="36"/>
      <c r="J128" s="36"/>
      <c r="K128" s="36"/>
      <c r="L128" s="36"/>
    </row>
    <row r="129" spans="1:29" x14ac:dyDescent="0.25">
      <c r="A129" s="258" t="s">
        <v>355</v>
      </c>
      <c r="B129" s="14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AC129" s="260" t="s">
        <v>358</v>
      </c>
    </row>
    <row r="130" spans="1:29" x14ac:dyDescent="0.25">
      <c r="A130" s="259" t="s">
        <v>356</v>
      </c>
      <c r="AC130" s="259" t="s">
        <v>359</v>
      </c>
    </row>
    <row r="148" spans="21:21" x14ac:dyDescent="0.25">
      <c r="U148" s="650" t="s">
        <v>1215</v>
      </c>
    </row>
  </sheetData>
  <mergeCells count="3">
    <mergeCell ref="A1:AD1"/>
    <mergeCell ref="A2:AD2"/>
    <mergeCell ref="A3:AD3"/>
  </mergeCells>
  <printOptions horizontalCentered="1" verticalCentered="1" headings="1"/>
  <pageMargins left="0.95" right="0.2" top="0.75" bottom="0.25" header="0.3" footer="0.3"/>
  <pageSetup paperSize="5" scale="61" orientation="landscape" r:id="rId1"/>
  <rowBreaks count="2" manualBreakCount="2">
    <brk id="43" max="26" man="1"/>
    <brk id="89" max="26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52"/>
  <sheetViews>
    <sheetView view="pageBreakPreview" topLeftCell="A43" zoomScale="89" zoomScaleNormal="100" zoomScaleSheetLayoutView="89" workbookViewId="0">
      <pane xSplit="1" topLeftCell="W1" activePane="topRight" state="frozen"/>
      <selection activeCell="A13" sqref="A13"/>
      <selection pane="topRight" activeCell="AA16" sqref="AA16"/>
    </sheetView>
  </sheetViews>
  <sheetFormatPr defaultRowHeight="15" outlineLevelCol="1" x14ac:dyDescent="0.25"/>
  <cols>
    <col min="1" max="1" width="49.7109375" style="21" customWidth="1"/>
    <col min="2" max="2" width="12.7109375" style="21" customWidth="1"/>
    <col min="3" max="3" width="16.140625" style="21" customWidth="1"/>
    <col min="4" max="4" width="16.140625" style="987" customWidth="1"/>
    <col min="5" max="6" width="13.28515625" style="987" customWidth="1"/>
    <col min="7" max="9" width="13.28515625" style="21" customWidth="1"/>
    <col min="10" max="10" width="14.5703125" style="21" customWidth="1"/>
    <col min="11" max="14" width="12.7109375" style="303" hidden="1" customWidth="1" outlineLevel="1"/>
    <col min="15" max="15" width="17" style="303" hidden="1" customWidth="1" outlineLevel="1"/>
    <col min="16" max="22" width="12.7109375" style="303" hidden="1" customWidth="1" outlineLevel="1"/>
    <col min="23" max="23" width="12.7109375" style="303" customWidth="1" collapsed="1"/>
    <col min="24" max="24" width="12.7109375" style="303" customWidth="1"/>
    <col min="25" max="25" width="12.7109375" style="21" customWidth="1"/>
    <col min="26" max="26" width="14.28515625" style="21" customWidth="1"/>
    <col min="27" max="27" width="14" style="1090" customWidth="1"/>
    <col min="28" max="16384" width="9.140625" style="21"/>
  </cols>
  <sheetData>
    <row r="1" spans="1:27" x14ac:dyDescent="0.25">
      <c r="A1" s="1432" t="s">
        <v>352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1432"/>
      <c r="M1" s="1432"/>
      <c r="N1" s="1432"/>
      <c r="O1" s="1432"/>
      <c r="P1" s="1432"/>
      <c r="Q1" s="1432"/>
      <c r="R1" s="1432"/>
      <c r="S1" s="1432"/>
      <c r="T1" s="1432"/>
      <c r="U1" s="1432"/>
      <c r="V1" s="1432"/>
      <c r="W1" s="1432"/>
      <c r="X1" s="1432"/>
      <c r="Y1" s="1432"/>
      <c r="Z1" s="1432"/>
      <c r="AA1" s="1432"/>
    </row>
    <row r="2" spans="1:27" x14ac:dyDescent="0.25">
      <c r="A2" s="1432" t="s">
        <v>353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1432"/>
      <c r="Y2" s="1432"/>
      <c r="Z2" s="1432"/>
      <c r="AA2" s="1432"/>
    </row>
    <row r="3" spans="1:27" ht="15.75" thickBot="1" x14ac:dyDescent="0.3">
      <c r="A3" s="1433" t="str">
        <f>'8751-MEO'!A3:AD3</f>
        <v>For the Period October 1-31, 2021</v>
      </c>
      <c r="B3" s="1433"/>
      <c r="C3" s="1433"/>
      <c r="D3" s="1433"/>
      <c r="E3" s="1433"/>
      <c r="F3" s="1433"/>
      <c r="G3" s="1433"/>
      <c r="H3" s="1433"/>
      <c r="I3" s="1433"/>
      <c r="J3" s="1433"/>
      <c r="K3" s="1433"/>
      <c r="L3" s="1433"/>
      <c r="M3" s="1433"/>
      <c r="N3" s="1433"/>
      <c r="O3" s="1433"/>
      <c r="P3" s="1433"/>
      <c r="Q3" s="1433"/>
      <c r="R3" s="1433"/>
      <c r="S3" s="1433"/>
      <c r="T3" s="1433"/>
      <c r="U3" s="1433"/>
      <c r="V3" s="1433"/>
      <c r="W3" s="1433"/>
      <c r="X3" s="1433"/>
      <c r="Y3" s="1433"/>
      <c r="Z3" s="1433"/>
      <c r="AA3" s="1433"/>
    </row>
    <row r="4" spans="1:27" ht="27" thickTop="1" x14ac:dyDescent="0.25">
      <c r="A4" s="249" t="s">
        <v>347</v>
      </c>
      <c r="B4" s="249" t="s">
        <v>2</v>
      </c>
      <c r="C4" s="249" t="s">
        <v>133</v>
      </c>
      <c r="D4" s="1029" t="s">
        <v>1205</v>
      </c>
      <c r="E4" s="1029" t="s">
        <v>1205</v>
      </c>
      <c r="F4" s="1029" t="s">
        <v>1232</v>
      </c>
      <c r="G4" s="249" t="s">
        <v>1</v>
      </c>
      <c r="H4" s="249" t="s">
        <v>316</v>
      </c>
      <c r="I4" s="249" t="s">
        <v>314</v>
      </c>
      <c r="J4" s="250" t="s">
        <v>346</v>
      </c>
      <c r="K4" s="251"/>
      <c r="L4" s="251"/>
      <c r="M4" s="251"/>
      <c r="N4" s="251"/>
      <c r="O4" s="252"/>
      <c r="P4" s="252"/>
      <c r="Q4" s="252"/>
      <c r="R4" s="252"/>
      <c r="S4" s="252"/>
      <c r="T4" s="252"/>
      <c r="U4" s="252"/>
      <c r="V4" s="252"/>
      <c r="W4" s="250" t="s">
        <v>316</v>
      </c>
      <c r="X4" s="250" t="s">
        <v>348</v>
      </c>
      <c r="Y4" s="250" t="s">
        <v>1</v>
      </c>
      <c r="Z4" s="250" t="s">
        <v>131</v>
      </c>
      <c r="AA4" s="755" t="s">
        <v>131</v>
      </c>
    </row>
    <row r="5" spans="1:27" ht="15.75" thickBot="1" x14ac:dyDescent="0.3">
      <c r="A5" s="71"/>
      <c r="B5" s="85" t="s">
        <v>3</v>
      </c>
      <c r="C5" s="85" t="s">
        <v>134</v>
      </c>
      <c r="D5" s="729" t="s">
        <v>1329</v>
      </c>
      <c r="E5" s="729" t="s">
        <v>1185</v>
      </c>
      <c r="F5" s="1109" t="s">
        <v>1233</v>
      </c>
      <c r="G5" s="85" t="s">
        <v>314</v>
      </c>
      <c r="H5" s="85" t="s">
        <v>314</v>
      </c>
      <c r="I5" s="85" t="s">
        <v>315</v>
      </c>
      <c r="J5" s="75" t="s">
        <v>315</v>
      </c>
      <c r="K5" s="75" t="s">
        <v>0</v>
      </c>
      <c r="L5" s="75" t="s">
        <v>120</v>
      </c>
      <c r="M5" s="75" t="s">
        <v>121</v>
      </c>
      <c r="N5" s="75" t="s">
        <v>122</v>
      </c>
      <c r="O5" s="75" t="s">
        <v>123</v>
      </c>
      <c r="P5" s="75" t="s">
        <v>124</v>
      </c>
      <c r="Q5" s="75" t="s">
        <v>125</v>
      </c>
      <c r="R5" s="75" t="s">
        <v>126</v>
      </c>
      <c r="S5" s="75" t="s">
        <v>127</v>
      </c>
      <c r="T5" s="75" t="s">
        <v>128</v>
      </c>
      <c r="U5" s="75" t="s">
        <v>129</v>
      </c>
      <c r="V5" s="75" t="s">
        <v>130</v>
      </c>
      <c r="W5" s="75" t="s">
        <v>317</v>
      </c>
      <c r="X5" s="75" t="s">
        <v>315</v>
      </c>
      <c r="Y5" s="75" t="s">
        <v>317</v>
      </c>
      <c r="Z5" s="75" t="s">
        <v>314</v>
      </c>
      <c r="AA5" s="752" t="s">
        <v>132</v>
      </c>
    </row>
    <row r="6" spans="1:27" s="987" customFormat="1" ht="16.5" thickTop="1" thickBot="1" x14ac:dyDescent="0.3">
      <c r="A6" s="96" t="s">
        <v>1234</v>
      </c>
      <c r="B6" s="730"/>
      <c r="C6" s="730"/>
      <c r="D6" s="730"/>
      <c r="E6" s="730"/>
      <c r="F6" s="730"/>
      <c r="G6" s="730"/>
      <c r="H6" s="730"/>
      <c r="I6" s="730"/>
      <c r="J6" s="724"/>
      <c r="K6" s="724"/>
      <c r="L6" s="724"/>
      <c r="M6" s="724"/>
      <c r="N6" s="724"/>
      <c r="O6" s="724"/>
      <c r="P6" s="724"/>
      <c r="Q6" s="724"/>
      <c r="R6" s="724"/>
      <c r="S6" s="724"/>
      <c r="T6" s="724"/>
      <c r="U6" s="724"/>
      <c r="V6" s="724"/>
      <c r="W6" s="724"/>
      <c r="X6" s="724"/>
      <c r="Y6" s="724"/>
      <c r="Z6" s="724"/>
      <c r="AA6" s="1385"/>
    </row>
    <row r="7" spans="1:27" ht="15.75" thickTop="1" x14ac:dyDescent="0.25">
      <c r="A7" s="1105" t="s">
        <v>285</v>
      </c>
      <c r="B7" s="367"/>
      <c r="C7" s="367"/>
      <c r="D7" s="367"/>
      <c r="E7" s="367"/>
      <c r="F7" s="367"/>
      <c r="G7" s="367"/>
      <c r="H7" s="367"/>
      <c r="I7" s="367"/>
      <c r="J7" s="367"/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51"/>
      <c r="V7" s="451"/>
      <c r="W7" s="451"/>
      <c r="X7" s="451"/>
      <c r="Y7" s="367"/>
      <c r="Z7" s="367"/>
      <c r="AA7" s="1341"/>
    </row>
    <row r="8" spans="1:27" x14ac:dyDescent="0.25">
      <c r="A8" s="975" t="s">
        <v>274</v>
      </c>
      <c r="B8" s="654" t="s">
        <v>104</v>
      </c>
      <c r="C8" s="225"/>
      <c r="D8" s="225"/>
      <c r="E8" s="225"/>
      <c r="F8" s="225"/>
      <c r="G8" s="225"/>
      <c r="H8" s="225"/>
      <c r="I8" s="225"/>
      <c r="J8" s="40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40"/>
      <c r="Y8" s="109">
        <f>W8+X8</f>
        <v>0</v>
      </c>
      <c r="Z8" s="40"/>
      <c r="AA8" s="1299"/>
    </row>
    <row r="9" spans="1:27" ht="25.5" x14ac:dyDescent="0.25">
      <c r="A9" s="1107" t="s">
        <v>906</v>
      </c>
      <c r="B9" s="654"/>
      <c r="C9" s="656">
        <f>80000</f>
        <v>80000</v>
      </c>
      <c r="D9" s="656"/>
      <c r="E9" s="656"/>
      <c r="F9" s="656"/>
      <c r="G9" s="225">
        <f>SUM(C9:F9)</f>
        <v>80000</v>
      </c>
      <c r="H9" s="225">
        <f>G9/12*9</f>
        <v>60000</v>
      </c>
      <c r="I9" s="225">
        <f>G9/12</f>
        <v>6666.666666666667</v>
      </c>
      <c r="J9" s="716">
        <f>H9+I9</f>
        <v>66666.666666666672</v>
      </c>
      <c r="K9" s="265"/>
      <c r="L9" s="265"/>
      <c r="M9" s="265"/>
      <c r="N9" s="265"/>
      <c r="O9" s="265"/>
      <c r="P9" s="265"/>
      <c r="Q9" s="265"/>
      <c r="R9" s="265"/>
      <c r="S9" s="265">
        <v>45000</v>
      </c>
      <c r="T9" s="265"/>
      <c r="U9" s="265"/>
      <c r="V9" s="265"/>
      <c r="W9" s="265">
        <f>K9+L9+M9+N9+O9+P9+Q9+R9+S9</f>
        <v>45000</v>
      </c>
      <c r="X9" s="40">
        <f>T9</f>
        <v>0</v>
      </c>
      <c r="Y9" s="109">
        <f t="shared" ref="Y9" si="0">W9+X9</f>
        <v>45000</v>
      </c>
      <c r="Z9" s="40">
        <f>J9-Y9</f>
        <v>21666.666666666672</v>
      </c>
      <c r="AA9" s="1299">
        <f>G9-Y9</f>
        <v>35000</v>
      </c>
    </row>
    <row r="10" spans="1:27" s="987" customFormat="1" ht="25.5" x14ac:dyDescent="0.25">
      <c r="A10" s="1106" t="s">
        <v>1235</v>
      </c>
      <c r="B10" s="654"/>
      <c r="C10" s="656"/>
      <c r="D10" s="656"/>
      <c r="E10" s="656"/>
      <c r="F10" s="656">
        <v>75000</v>
      </c>
      <c r="G10" s="225">
        <f t="shared" ref="G10:G73" si="1">SUM(C10:F10)</f>
        <v>75000</v>
      </c>
      <c r="H10" s="225">
        <f t="shared" ref="H10:H73" si="2">G10/12*9</f>
        <v>56250</v>
      </c>
      <c r="I10" s="225"/>
      <c r="J10" s="989"/>
      <c r="K10" s="997"/>
      <c r="L10" s="997"/>
      <c r="M10" s="997"/>
      <c r="N10" s="997"/>
      <c r="O10" s="997"/>
      <c r="P10" s="997"/>
      <c r="Q10" s="997"/>
      <c r="R10" s="997"/>
      <c r="S10" s="997"/>
      <c r="T10" s="997"/>
      <c r="U10" s="997"/>
      <c r="V10" s="997"/>
      <c r="W10" s="997">
        <f t="shared" ref="W10:W73" si="3">K10+L10+M10+N10+O10+P10+Q10+R10+S10</f>
        <v>0</v>
      </c>
      <c r="X10" s="989">
        <f t="shared" ref="X10:X73" si="4">T10</f>
        <v>0</v>
      </c>
      <c r="Y10" s="990">
        <f t="shared" ref="Y10:Y74" si="5">W10+X10</f>
        <v>0</v>
      </c>
      <c r="Z10" s="989">
        <f t="shared" ref="Z10:Z73" si="6">J10-Y10</f>
        <v>0</v>
      </c>
      <c r="AA10" s="1299">
        <f t="shared" ref="AA10:AA73" si="7">G10-Y10</f>
        <v>75000</v>
      </c>
    </row>
    <row r="11" spans="1:27" x14ac:dyDescent="0.25">
      <c r="A11" s="623" t="s">
        <v>286</v>
      </c>
      <c r="B11" s="116"/>
      <c r="C11" s="225">
        <v>40500</v>
      </c>
      <c r="D11" s="225"/>
      <c r="E11" s="225"/>
      <c r="F11" s="225"/>
      <c r="G11" s="225">
        <f t="shared" si="1"/>
        <v>40500</v>
      </c>
      <c r="H11" s="225">
        <f t="shared" si="2"/>
        <v>30375</v>
      </c>
      <c r="I11" s="225">
        <f t="shared" ref="I11" si="8">G11/12</f>
        <v>3375</v>
      </c>
      <c r="J11" s="40">
        <f>H11+I11</f>
        <v>33750</v>
      </c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997">
        <f t="shared" si="3"/>
        <v>0</v>
      </c>
      <c r="X11" s="989">
        <f t="shared" si="4"/>
        <v>0</v>
      </c>
      <c r="Y11" s="990">
        <f t="shared" si="5"/>
        <v>0</v>
      </c>
      <c r="Z11" s="989">
        <f t="shared" si="6"/>
        <v>33750</v>
      </c>
      <c r="AA11" s="1299">
        <f t="shared" si="7"/>
        <v>40500</v>
      </c>
    </row>
    <row r="12" spans="1:27" x14ac:dyDescent="0.25">
      <c r="A12" s="623" t="s">
        <v>907</v>
      </c>
      <c r="B12" s="116"/>
      <c r="C12" s="225">
        <v>540000</v>
      </c>
      <c r="D12" s="225"/>
      <c r="E12" s="225"/>
      <c r="F12" s="225"/>
      <c r="G12" s="225">
        <f t="shared" si="1"/>
        <v>540000</v>
      </c>
      <c r="H12" s="225">
        <f t="shared" si="2"/>
        <v>405000</v>
      </c>
      <c r="I12" s="225">
        <f t="shared" ref="I12:I69" si="9">G12/12</f>
        <v>45000</v>
      </c>
      <c r="J12" s="40">
        <f t="shared" ref="J12:J69" si="10">H12+I12</f>
        <v>450000</v>
      </c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997">
        <f t="shared" si="3"/>
        <v>0</v>
      </c>
      <c r="X12" s="989">
        <f t="shared" si="4"/>
        <v>0</v>
      </c>
      <c r="Y12" s="989">
        <f t="shared" si="5"/>
        <v>0</v>
      </c>
      <c r="Z12" s="989">
        <f t="shared" si="6"/>
        <v>450000</v>
      </c>
      <c r="AA12" s="1299">
        <f t="shared" si="7"/>
        <v>540000</v>
      </c>
    </row>
    <row r="13" spans="1:27" x14ac:dyDescent="0.25">
      <c r="A13" s="623" t="s">
        <v>908</v>
      </c>
      <c r="B13" s="116"/>
      <c r="C13" s="225">
        <f>229500+40500</f>
        <v>270000</v>
      </c>
      <c r="D13" s="225"/>
      <c r="E13" s="225"/>
      <c r="F13" s="225">
        <v>815000</v>
      </c>
      <c r="G13" s="225">
        <f t="shared" si="1"/>
        <v>1085000</v>
      </c>
      <c r="H13" s="225">
        <f t="shared" si="2"/>
        <v>813750</v>
      </c>
      <c r="I13" s="225">
        <f t="shared" si="9"/>
        <v>90416.666666666672</v>
      </c>
      <c r="J13" s="40">
        <f t="shared" si="10"/>
        <v>904166.66666666663</v>
      </c>
      <c r="K13" s="265"/>
      <c r="L13" s="265"/>
      <c r="M13" s="265"/>
      <c r="N13" s="265"/>
      <c r="O13" s="265"/>
      <c r="P13" s="997">
        <v>260000</v>
      </c>
      <c r="Q13" s="265"/>
      <c r="R13" s="265"/>
      <c r="S13" s="997">
        <v>260000</v>
      </c>
      <c r="T13" s="265"/>
      <c r="U13" s="265"/>
      <c r="V13" s="265"/>
      <c r="W13" s="997">
        <f t="shared" si="3"/>
        <v>520000</v>
      </c>
      <c r="X13" s="989">
        <f t="shared" si="4"/>
        <v>0</v>
      </c>
      <c r="Y13" s="989">
        <f t="shared" si="5"/>
        <v>520000</v>
      </c>
      <c r="Z13" s="989">
        <f t="shared" si="6"/>
        <v>384166.66666666663</v>
      </c>
      <c r="AA13" s="1299">
        <f t="shared" si="7"/>
        <v>565000</v>
      </c>
    </row>
    <row r="14" spans="1:27" x14ac:dyDescent="0.25">
      <c r="A14" s="623" t="s">
        <v>909</v>
      </c>
      <c r="B14" s="116"/>
      <c r="C14" s="225">
        <v>20000</v>
      </c>
      <c r="D14" s="225"/>
      <c r="E14" s="225"/>
      <c r="F14" s="225"/>
      <c r="G14" s="225">
        <f t="shared" si="1"/>
        <v>20000</v>
      </c>
      <c r="H14" s="225">
        <f t="shared" si="2"/>
        <v>15000</v>
      </c>
      <c r="I14" s="225">
        <f t="shared" si="9"/>
        <v>1666.6666666666667</v>
      </c>
      <c r="J14" s="40">
        <f t="shared" si="10"/>
        <v>16666.666666666668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997">
        <f t="shared" si="3"/>
        <v>0</v>
      </c>
      <c r="X14" s="989">
        <f t="shared" si="4"/>
        <v>0</v>
      </c>
      <c r="Y14" s="989">
        <f t="shared" si="5"/>
        <v>0</v>
      </c>
      <c r="Z14" s="989">
        <f t="shared" si="6"/>
        <v>16666.666666666668</v>
      </c>
      <c r="AA14" s="1299">
        <f t="shared" si="7"/>
        <v>20000</v>
      </c>
    </row>
    <row r="15" spans="1:27" x14ac:dyDescent="0.25">
      <c r="A15" s="623" t="s">
        <v>910</v>
      </c>
      <c r="B15" s="116"/>
      <c r="C15" s="225">
        <v>20000</v>
      </c>
      <c r="D15" s="225">
        <f>-20000</f>
        <v>-20000</v>
      </c>
      <c r="E15" s="225"/>
      <c r="F15" s="225"/>
      <c r="G15" s="225">
        <f t="shared" si="1"/>
        <v>0</v>
      </c>
      <c r="H15" s="225">
        <f t="shared" si="2"/>
        <v>0</v>
      </c>
      <c r="I15" s="225">
        <f t="shared" si="9"/>
        <v>0</v>
      </c>
      <c r="J15" s="40">
        <f t="shared" si="10"/>
        <v>0</v>
      </c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997">
        <f t="shared" si="3"/>
        <v>0</v>
      </c>
      <c r="X15" s="989">
        <f t="shared" si="4"/>
        <v>0</v>
      </c>
      <c r="Y15" s="989">
        <f t="shared" si="5"/>
        <v>0</v>
      </c>
      <c r="Z15" s="989">
        <f t="shared" si="6"/>
        <v>0</v>
      </c>
      <c r="AA15" s="1299">
        <f t="shared" si="7"/>
        <v>0</v>
      </c>
    </row>
    <row r="16" spans="1:27" x14ac:dyDescent="0.25">
      <c r="A16" s="173" t="s">
        <v>253</v>
      </c>
      <c r="B16" s="116" t="s">
        <v>93</v>
      </c>
      <c r="C16" s="225"/>
      <c r="D16" s="225"/>
      <c r="E16" s="225"/>
      <c r="F16" s="225"/>
      <c r="G16" s="225">
        <f t="shared" si="1"/>
        <v>0</v>
      </c>
      <c r="H16" s="225">
        <f t="shared" si="2"/>
        <v>0</v>
      </c>
      <c r="I16" s="225">
        <f t="shared" si="9"/>
        <v>0</v>
      </c>
      <c r="J16" s="40">
        <f t="shared" si="10"/>
        <v>0</v>
      </c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997">
        <f t="shared" si="3"/>
        <v>0</v>
      </c>
      <c r="X16" s="989">
        <f t="shared" si="4"/>
        <v>0</v>
      </c>
      <c r="Y16" s="989">
        <f t="shared" si="5"/>
        <v>0</v>
      </c>
      <c r="Z16" s="989">
        <f t="shared" si="6"/>
        <v>0</v>
      </c>
      <c r="AA16" s="1299">
        <f t="shared" si="7"/>
        <v>0</v>
      </c>
    </row>
    <row r="17" spans="1:27" x14ac:dyDescent="0.25">
      <c r="A17" s="623" t="s">
        <v>911</v>
      </c>
      <c r="B17" s="116"/>
      <c r="C17" s="203">
        <v>50000</v>
      </c>
      <c r="D17" s="203"/>
      <c r="E17" s="203"/>
      <c r="F17" s="203"/>
      <c r="G17" s="225">
        <f t="shared" si="1"/>
        <v>50000</v>
      </c>
      <c r="H17" s="225">
        <f t="shared" si="2"/>
        <v>37500</v>
      </c>
      <c r="I17" s="225">
        <f t="shared" si="9"/>
        <v>4166.666666666667</v>
      </c>
      <c r="J17" s="40">
        <f t="shared" si="10"/>
        <v>41666.666666666664</v>
      </c>
      <c r="K17" s="265"/>
      <c r="L17" s="265"/>
      <c r="M17" s="265"/>
      <c r="N17" s="265">
        <v>19200</v>
      </c>
      <c r="O17" s="265"/>
      <c r="P17" s="265"/>
      <c r="Q17" s="265"/>
      <c r="R17" s="265"/>
      <c r="S17" s="265"/>
      <c r="T17" s="265"/>
      <c r="U17" s="265"/>
      <c r="V17" s="265"/>
      <c r="W17" s="997">
        <f t="shared" si="3"/>
        <v>19200</v>
      </c>
      <c r="X17" s="989">
        <f t="shared" si="4"/>
        <v>0</v>
      </c>
      <c r="Y17" s="989">
        <f t="shared" si="5"/>
        <v>19200</v>
      </c>
      <c r="Z17" s="989">
        <f t="shared" si="6"/>
        <v>22466.666666666664</v>
      </c>
      <c r="AA17" s="1299">
        <f t="shared" si="7"/>
        <v>30800</v>
      </c>
    </row>
    <row r="18" spans="1:27" x14ac:dyDescent="0.25">
      <c r="A18" s="623" t="s">
        <v>912</v>
      </c>
      <c r="B18" s="116"/>
      <c r="C18" s="225">
        <v>20000</v>
      </c>
      <c r="D18" s="225"/>
      <c r="E18" s="225"/>
      <c r="F18" s="225"/>
      <c r="G18" s="225">
        <f t="shared" si="1"/>
        <v>20000</v>
      </c>
      <c r="H18" s="225">
        <f t="shared" si="2"/>
        <v>15000</v>
      </c>
      <c r="I18" s="225">
        <f t="shared" si="9"/>
        <v>1666.6666666666667</v>
      </c>
      <c r="J18" s="40">
        <f t="shared" si="10"/>
        <v>16666.666666666668</v>
      </c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997">
        <f t="shared" si="3"/>
        <v>0</v>
      </c>
      <c r="X18" s="989">
        <f t="shared" si="4"/>
        <v>0</v>
      </c>
      <c r="Y18" s="989">
        <f t="shared" si="5"/>
        <v>0</v>
      </c>
      <c r="Z18" s="989">
        <f t="shared" si="6"/>
        <v>16666.666666666668</v>
      </c>
      <c r="AA18" s="1299">
        <f t="shared" si="7"/>
        <v>20000</v>
      </c>
    </row>
    <row r="19" spans="1:27" x14ac:dyDescent="0.25">
      <c r="A19" s="623" t="s">
        <v>913</v>
      </c>
      <c r="B19" s="116"/>
      <c r="C19" s="203">
        <v>50000</v>
      </c>
      <c r="D19" s="203"/>
      <c r="E19" s="203"/>
      <c r="F19" s="203"/>
      <c r="G19" s="225">
        <f t="shared" si="1"/>
        <v>50000</v>
      </c>
      <c r="H19" s="225">
        <f t="shared" si="2"/>
        <v>37500</v>
      </c>
      <c r="I19" s="225">
        <f t="shared" si="9"/>
        <v>4166.666666666667</v>
      </c>
      <c r="J19" s="40">
        <f t="shared" si="10"/>
        <v>41666.666666666664</v>
      </c>
      <c r="K19" s="265"/>
      <c r="L19" s="265"/>
      <c r="M19" s="265">
        <v>1400</v>
      </c>
      <c r="N19" s="265"/>
      <c r="O19" s="265"/>
      <c r="P19" s="265"/>
      <c r="Q19" s="265"/>
      <c r="R19" s="265"/>
      <c r="S19" s="265"/>
      <c r="T19" s="265"/>
      <c r="U19" s="265"/>
      <c r="V19" s="265"/>
      <c r="W19" s="997">
        <f t="shared" si="3"/>
        <v>1400</v>
      </c>
      <c r="X19" s="989">
        <f t="shared" si="4"/>
        <v>0</v>
      </c>
      <c r="Y19" s="989">
        <f t="shared" si="5"/>
        <v>1400</v>
      </c>
      <c r="Z19" s="989">
        <f t="shared" si="6"/>
        <v>40266.666666666664</v>
      </c>
      <c r="AA19" s="1299">
        <f t="shared" si="7"/>
        <v>48600</v>
      </c>
    </row>
    <row r="20" spans="1:27" x14ac:dyDescent="0.25">
      <c r="A20" s="623" t="s">
        <v>914</v>
      </c>
      <c r="B20" s="116"/>
      <c r="C20" s="203">
        <v>10000</v>
      </c>
      <c r="D20" s="203"/>
      <c r="E20" s="203"/>
      <c r="F20" s="203"/>
      <c r="G20" s="225">
        <f t="shared" si="1"/>
        <v>10000</v>
      </c>
      <c r="H20" s="225">
        <f t="shared" si="2"/>
        <v>7500</v>
      </c>
      <c r="I20" s="225">
        <f t="shared" si="9"/>
        <v>833.33333333333337</v>
      </c>
      <c r="J20" s="40">
        <f t="shared" si="10"/>
        <v>8333.3333333333339</v>
      </c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997">
        <f t="shared" si="3"/>
        <v>0</v>
      </c>
      <c r="X20" s="989">
        <f t="shared" si="4"/>
        <v>0</v>
      </c>
      <c r="Y20" s="989">
        <f t="shared" si="5"/>
        <v>0</v>
      </c>
      <c r="Z20" s="989">
        <f t="shared" si="6"/>
        <v>8333.3333333333339</v>
      </c>
      <c r="AA20" s="1299">
        <f t="shared" si="7"/>
        <v>10000</v>
      </c>
    </row>
    <row r="21" spans="1:27" x14ac:dyDescent="0.25">
      <c r="A21" s="975" t="s">
        <v>291</v>
      </c>
      <c r="B21" s="116"/>
      <c r="C21" s="203"/>
      <c r="D21" s="203"/>
      <c r="E21" s="203"/>
      <c r="F21" s="203"/>
      <c r="G21" s="225">
        <f t="shared" si="1"/>
        <v>0</v>
      </c>
      <c r="H21" s="225">
        <f t="shared" si="2"/>
        <v>0</v>
      </c>
      <c r="I21" s="225">
        <f t="shared" si="9"/>
        <v>0</v>
      </c>
      <c r="J21" s="40">
        <f t="shared" si="10"/>
        <v>0</v>
      </c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997">
        <f t="shared" si="3"/>
        <v>0</v>
      </c>
      <c r="X21" s="989">
        <f t="shared" si="4"/>
        <v>0</v>
      </c>
      <c r="Y21" s="989">
        <f t="shared" si="5"/>
        <v>0</v>
      </c>
      <c r="Z21" s="989">
        <f t="shared" si="6"/>
        <v>0</v>
      </c>
      <c r="AA21" s="1299">
        <f t="shared" si="7"/>
        <v>0</v>
      </c>
    </row>
    <row r="22" spans="1:27" x14ac:dyDescent="0.25">
      <c r="A22" s="623" t="s">
        <v>915</v>
      </c>
      <c r="B22" s="116" t="s">
        <v>56</v>
      </c>
      <c r="C22" s="203">
        <v>50000</v>
      </c>
      <c r="D22" s="203"/>
      <c r="E22" s="203"/>
      <c r="F22" s="203"/>
      <c r="G22" s="225">
        <f t="shared" si="1"/>
        <v>50000</v>
      </c>
      <c r="H22" s="225">
        <f t="shared" si="2"/>
        <v>37500</v>
      </c>
      <c r="I22" s="225">
        <f t="shared" si="9"/>
        <v>4166.666666666667</v>
      </c>
      <c r="J22" s="40">
        <f t="shared" si="10"/>
        <v>41666.666666666664</v>
      </c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997">
        <f t="shared" si="3"/>
        <v>0</v>
      </c>
      <c r="X22" s="989">
        <f t="shared" si="4"/>
        <v>0</v>
      </c>
      <c r="Y22" s="989">
        <f t="shared" si="5"/>
        <v>0</v>
      </c>
      <c r="Z22" s="989">
        <f t="shared" si="6"/>
        <v>41666.666666666664</v>
      </c>
      <c r="AA22" s="1299">
        <f t="shared" si="7"/>
        <v>50000</v>
      </c>
    </row>
    <row r="23" spans="1:27" x14ac:dyDescent="0.25">
      <c r="A23" s="623" t="s">
        <v>722</v>
      </c>
      <c r="B23" s="116" t="s">
        <v>87</v>
      </c>
      <c r="C23" s="203">
        <v>2000</v>
      </c>
      <c r="D23" s="203"/>
      <c r="E23" s="203"/>
      <c r="F23" s="203"/>
      <c r="G23" s="225">
        <f t="shared" si="1"/>
        <v>2000</v>
      </c>
      <c r="H23" s="225">
        <f t="shared" si="2"/>
        <v>1500</v>
      </c>
      <c r="I23" s="225">
        <f t="shared" si="9"/>
        <v>166.66666666666666</v>
      </c>
      <c r="J23" s="40">
        <f t="shared" si="10"/>
        <v>1666.6666666666667</v>
      </c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997">
        <f t="shared" si="3"/>
        <v>0</v>
      </c>
      <c r="X23" s="989">
        <f t="shared" si="4"/>
        <v>0</v>
      </c>
      <c r="Y23" s="989">
        <f t="shared" si="5"/>
        <v>0</v>
      </c>
      <c r="Z23" s="989">
        <f t="shared" si="6"/>
        <v>1666.6666666666667</v>
      </c>
      <c r="AA23" s="1299">
        <f t="shared" si="7"/>
        <v>2000</v>
      </c>
    </row>
    <row r="24" spans="1:27" x14ac:dyDescent="0.25">
      <c r="A24" s="623" t="s">
        <v>253</v>
      </c>
      <c r="B24" s="116" t="s">
        <v>93</v>
      </c>
      <c r="C24" s="203">
        <v>48000</v>
      </c>
      <c r="D24" s="203"/>
      <c r="E24" s="203"/>
      <c r="F24" s="203"/>
      <c r="G24" s="225">
        <f t="shared" si="1"/>
        <v>48000</v>
      </c>
      <c r="H24" s="225">
        <f t="shared" si="2"/>
        <v>36000</v>
      </c>
      <c r="I24" s="225">
        <f t="shared" si="9"/>
        <v>4000</v>
      </c>
      <c r="J24" s="40">
        <f t="shared" si="10"/>
        <v>40000</v>
      </c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997">
        <f t="shared" si="3"/>
        <v>0</v>
      </c>
      <c r="X24" s="989">
        <f t="shared" si="4"/>
        <v>0</v>
      </c>
      <c r="Y24" s="989">
        <f t="shared" si="5"/>
        <v>0</v>
      </c>
      <c r="Z24" s="989">
        <f t="shared" si="6"/>
        <v>40000</v>
      </c>
      <c r="AA24" s="1299">
        <f t="shared" si="7"/>
        <v>48000</v>
      </c>
    </row>
    <row r="25" spans="1:27" x14ac:dyDescent="0.25">
      <c r="A25" s="975" t="s">
        <v>916</v>
      </c>
      <c r="B25" s="116"/>
      <c r="C25" s="225"/>
      <c r="D25" s="225"/>
      <c r="E25" s="225"/>
      <c r="F25" s="225"/>
      <c r="G25" s="225">
        <f t="shared" si="1"/>
        <v>0</v>
      </c>
      <c r="H25" s="225">
        <f t="shared" si="2"/>
        <v>0</v>
      </c>
      <c r="I25" s="225">
        <f t="shared" si="9"/>
        <v>0</v>
      </c>
      <c r="J25" s="40">
        <f t="shared" si="10"/>
        <v>0</v>
      </c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997">
        <f t="shared" si="3"/>
        <v>0</v>
      </c>
      <c r="X25" s="989">
        <f t="shared" si="4"/>
        <v>0</v>
      </c>
      <c r="Y25" s="989">
        <f t="shared" si="5"/>
        <v>0</v>
      </c>
      <c r="Z25" s="989">
        <f t="shared" si="6"/>
        <v>0</v>
      </c>
      <c r="AA25" s="1299">
        <f t="shared" si="7"/>
        <v>0</v>
      </c>
    </row>
    <row r="26" spans="1:27" x14ac:dyDescent="0.25">
      <c r="A26" s="975" t="s">
        <v>274</v>
      </c>
      <c r="B26" s="116" t="s">
        <v>104</v>
      </c>
      <c r="C26" s="225"/>
      <c r="D26" s="225"/>
      <c r="E26" s="225"/>
      <c r="F26" s="225"/>
      <c r="G26" s="225">
        <f t="shared" si="1"/>
        <v>0</v>
      </c>
      <c r="H26" s="225">
        <f t="shared" si="2"/>
        <v>0</v>
      </c>
      <c r="I26" s="225">
        <f t="shared" si="9"/>
        <v>0</v>
      </c>
      <c r="J26" s="40">
        <f t="shared" si="10"/>
        <v>0</v>
      </c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997">
        <f t="shared" si="3"/>
        <v>0</v>
      </c>
      <c r="X26" s="989">
        <f t="shared" si="4"/>
        <v>0</v>
      </c>
      <c r="Y26" s="989">
        <f t="shared" si="5"/>
        <v>0</v>
      </c>
      <c r="Z26" s="989">
        <f t="shared" si="6"/>
        <v>0</v>
      </c>
      <c r="AA26" s="1299">
        <f t="shared" si="7"/>
        <v>0</v>
      </c>
    </row>
    <row r="27" spans="1:27" x14ac:dyDescent="0.25">
      <c r="A27" s="623" t="s">
        <v>917</v>
      </c>
      <c r="B27" s="116"/>
      <c r="C27" s="203">
        <f>30000</f>
        <v>30000</v>
      </c>
      <c r="D27" s="203"/>
      <c r="E27" s="203"/>
      <c r="F27" s="203"/>
      <c r="G27" s="225">
        <f t="shared" si="1"/>
        <v>30000</v>
      </c>
      <c r="H27" s="225">
        <f t="shared" si="2"/>
        <v>22500</v>
      </c>
      <c r="I27" s="225">
        <f t="shared" si="9"/>
        <v>2500</v>
      </c>
      <c r="J27" s="40">
        <f t="shared" si="10"/>
        <v>25000</v>
      </c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997">
        <f t="shared" si="3"/>
        <v>0</v>
      </c>
      <c r="X27" s="989">
        <f t="shared" si="4"/>
        <v>0</v>
      </c>
      <c r="Y27" s="989">
        <f t="shared" si="5"/>
        <v>0</v>
      </c>
      <c r="Z27" s="989">
        <f t="shared" si="6"/>
        <v>25000</v>
      </c>
      <c r="AA27" s="1299">
        <f t="shared" si="7"/>
        <v>30000</v>
      </c>
    </row>
    <row r="28" spans="1:27" x14ac:dyDescent="0.25">
      <c r="A28" s="623" t="s">
        <v>918</v>
      </c>
      <c r="B28" s="116"/>
      <c r="C28" s="203"/>
      <c r="D28" s="203"/>
      <c r="E28" s="203"/>
      <c r="F28" s="203"/>
      <c r="G28" s="225">
        <f t="shared" si="1"/>
        <v>0</v>
      </c>
      <c r="H28" s="225">
        <f t="shared" si="2"/>
        <v>0</v>
      </c>
      <c r="I28" s="225">
        <f t="shared" si="9"/>
        <v>0</v>
      </c>
      <c r="J28" s="40">
        <f t="shared" si="10"/>
        <v>0</v>
      </c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997">
        <f t="shared" si="3"/>
        <v>0</v>
      </c>
      <c r="X28" s="989">
        <f t="shared" si="4"/>
        <v>0</v>
      </c>
      <c r="Y28" s="989">
        <f t="shared" si="5"/>
        <v>0</v>
      </c>
      <c r="Z28" s="989">
        <f t="shared" si="6"/>
        <v>0</v>
      </c>
      <c r="AA28" s="1299">
        <f t="shared" si="7"/>
        <v>0</v>
      </c>
    </row>
    <row r="29" spans="1:27" x14ac:dyDescent="0.25">
      <c r="A29" s="652" t="s">
        <v>919</v>
      </c>
      <c r="B29" s="116"/>
      <c r="C29" s="203">
        <v>1218000</v>
      </c>
      <c r="D29" s="203"/>
      <c r="E29" s="203"/>
      <c r="F29" s="203"/>
      <c r="G29" s="225">
        <f t="shared" si="1"/>
        <v>1218000</v>
      </c>
      <c r="H29" s="225">
        <f t="shared" si="2"/>
        <v>913500</v>
      </c>
      <c r="I29" s="225">
        <f t="shared" si="9"/>
        <v>101500</v>
      </c>
      <c r="J29" s="40">
        <f t="shared" si="10"/>
        <v>1015000</v>
      </c>
      <c r="K29" s="265"/>
      <c r="L29" s="265"/>
      <c r="M29" s="265"/>
      <c r="N29" s="265"/>
      <c r="O29" s="265">
        <v>310500</v>
      </c>
      <c r="P29" s="265"/>
      <c r="Q29" s="265">
        <v>309000</v>
      </c>
      <c r="R29" s="265"/>
      <c r="S29" s="265"/>
      <c r="T29" s="265"/>
      <c r="U29" s="265"/>
      <c r="V29" s="265"/>
      <c r="W29" s="997">
        <f t="shared" si="3"/>
        <v>619500</v>
      </c>
      <c r="X29" s="989">
        <f t="shared" si="4"/>
        <v>0</v>
      </c>
      <c r="Y29" s="989">
        <f t="shared" si="5"/>
        <v>619500</v>
      </c>
      <c r="Z29" s="989">
        <f t="shared" si="6"/>
        <v>395500</v>
      </c>
      <c r="AA29" s="1299">
        <f t="shared" si="7"/>
        <v>598500</v>
      </c>
    </row>
    <row r="30" spans="1:27" x14ac:dyDescent="0.25">
      <c r="A30" s="623" t="s">
        <v>920</v>
      </c>
      <c r="B30" s="116"/>
      <c r="C30" s="203">
        <v>35000</v>
      </c>
      <c r="D30" s="203">
        <f>-35000</f>
        <v>-35000</v>
      </c>
      <c r="E30" s="203"/>
      <c r="F30" s="203"/>
      <c r="G30" s="225">
        <f t="shared" si="1"/>
        <v>0</v>
      </c>
      <c r="H30" s="225">
        <f t="shared" si="2"/>
        <v>0</v>
      </c>
      <c r="I30" s="225">
        <f t="shared" si="9"/>
        <v>0</v>
      </c>
      <c r="J30" s="40">
        <f t="shared" si="10"/>
        <v>0</v>
      </c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997">
        <f t="shared" si="3"/>
        <v>0</v>
      </c>
      <c r="X30" s="989">
        <f t="shared" si="4"/>
        <v>0</v>
      </c>
      <c r="Y30" s="989">
        <f t="shared" si="5"/>
        <v>0</v>
      </c>
      <c r="Z30" s="989">
        <f t="shared" si="6"/>
        <v>0</v>
      </c>
      <c r="AA30" s="1299">
        <f t="shared" si="7"/>
        <v>0</v>
      </c>
    </row>
    <row r="31" spans="1:27" x14ac:dyDescent="0.25">
      <c r="A31" s="623" t="s">
        <v>921</v>
      </c>
      <c r="B31" s="116"/>
      <c r="C31" s="203">
        <v>35000</v>
      </c>
      <c r="D31" s="203"/>
      <c r="E31" s="203"/>
      <c r="F31" s="203"/>
      <c r="G31" s="225">
        <f t="shared" si="1"/>
        <v>35000</v>
      </c>
      <c r="H31" s="225">
        <f t="shared" si="2"/>
        <v>26250</v>
      </c>
      <c r="I31" s="225">
        <f t="shared" si="9"/>
        <v>2916.6666666666665</v>
      </c>
      <c r="J31" s="40">
        <f t="shared" si="10"/>
        <v>29166.666666666668</v>
      </c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997">
        <f t="shared" si="3"/>
        <v>0</v>
      </c>
      <c r="X31" s="989">
        <f t="shared" si="4"/>
        <v>0</v>
      </c>
      <c r="Y31" s="989">
        <f t="shared" si="5"/>
        <v>0</v>
      </c>
      <c r="Z31" s="989">
        <f t="shared" si="6"/>
        <v>29166.666666666668</v>
      </c>
      <c r="AA31" s="1299">
        <f t="shared" si="7"/>
        <v>35000</v>
      </c>
    </row>
    <row r="32" spans="1:27" x14ac:dyDescent="0.25">
      <c r="A32" s="623" t="s">
        <v>922</v>
      </c>
      <c r="B32" s="116"/>
      <c r="C32" s="203">
        <v>50000</v>
      </c>
      <c r="D32" s="203">
        <f>-50000</f>
        <v>-50000</v>
      </c>
      <c r="E32" s="203"/>
      <c r="F32" s="203"/>
      <c r="G32" s="225">
        <f t="shared" si="1"/>
        <v>0</v>
      </c>
      <c r="H32" s="225">
        <f t="shared" si="2"/>
        <v>0</v>
      </c>
      <c r="I32" s="225">
        <f t="shared" si="9"/>
        <v>0</v>
      </c>
      <c r="J32" s="40">
        <f t="shared" si="10"/>
        <v>0</v>
      </c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997">
        <f t="shared" si="3"/>
        <v>0</v>
      </c>
      <c r="X32" s="989">
        <f t="shared" si="4"/>
        <v>0</v>
      </c>
      <c r="Y32" s="989">
        <f t="shared" si="5"/>
        <v>0</v>
      </c>
      <c r="Z32" s="989">
        <f t="shared" si="6"/>
        <v>0</v>
      </c>
      <c r="AA32" s="1299">
        <f t="shared" si="7"/>
        <v>0</v>
      </c>
    </row>
    <row r="33" spans="1:27" x14ac:dyDescent="0.25">
      <c r="A33" s="796" t="s">
        <v>923</v>
      </c>
      <c r="B33" s="116"/>
      <c r="C33" s="657"/>
      <c r="D33" s="657"/>
      <c r="E33" s="657"/>
      <c r="F33" s="657"/>
      <c r="G33" s="225">
        <f t="shared" si="1"/>
        <v>0</v>
      </c>
      <c r="H33" s="225">
        <f t="shared" si="2"/>
        <v>0</v>
      </c>
      <c r="I33" s="225">
        <f t="shared" si="9"/>
        <v>0</v>
      </c>
      <c r="J33" s="40">
        <f t="shared" si="10"/>
        <v>0</v>
      </c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997">
        <f t="shared" si="3"/>
        <v>0</v>
      </c>
      <c r="X33" s="989">
        <f t="shared" si="4"/>
        <v>0</v>
      </c>
      <c r="Y33" s="989">
        <f t="shared" si="5"/>
        <v>0</v>
      </c>
      <c r="Z33" s="989">
        <f t="shared" si="6"/>
        <v>0</v>
      </c>
      <c r="AA33" s="1299">
        <f t="shared" si="7"/>
        <v>0</v>
      </c>
    </row>
    <row r="34" spans="1:27" x14ac:dyDescent="0.25">
      <c r="A34" s="173" t="s">
        <v>139</v>
      </c>
      <c r="B34" s="116" t="s">
        <v>43</v>
      </c>
      <c r="C34" s="203">
        <v>45000</v>
      </c>
      <c r="D34" s="203"/>
      <c r="E34" s="203"/>
      <c r="F34" s="203"/>
      <c r="G34" s="225">
        <f t="shared" si="1"/>
        <v>45000</v>
      </c>
      <c r="H34" s="225">
        <f t="shared" si="2"/>
        <v>33750</v>
      </c>
      <c r="I34" s="225">
        <f t="shared" si="9"/>
        <v>3750</v>
      </c>
      <c r="J34" s="40">
        <f t="shared" si="10"/>
        <v>37500</v>
      </c>
      <c r="K34" s="265"/>
      <c r="L34" s="997">
        <v>2480</v>
      </c>
      <c r="M34" s="265"/>
      <c r="N34" s="265"/>
      <c r="O34" s="265"/>
      <c r="P34" s="265">
        <v>0</v>
      </c>
      <c r="Q34" s="265">
        <v>1300</v>
      </c>
      <c r="R34" s="265"/>
      <c r="S34" s="265"/>
      <c r="T34" s="265">
        <v>1300</v>
      </c>
      <c r="U34" s="265"/>
      <c r="V34" s="265"/>
      <c r="W34" s="997">
        <f t="shared" si="3"/>
        <v>3780</v>
      </c>
      <c r="X34" s="989">
        <f t="shared" si="4"/>
        <v>1300</v>
      </c>
      <c r="Y34" s="989">
        <f t="shared" si="5"/>
        <v>5080</v>
      </c>
      <c r="Z34" s="989">
        <f t="shared" si="6"/>
        <v>32420</v>
      </c>
      <c r="AA34" s="1299">
        <f t="shared" si="7"/>
        <v>39920</v>
      </c>
    </row>
    <row r="35" spans="1:27" x14ac:dyDescent="0.25">
      <c r="A35" s="173" t="s">
        <v>50</v>
      </c>
      <c r="B35" s="116" t="s">
        <v>51</v>
      </c>
      <c r="C35" s="203">
        <v>47000</v>
      </c>
      <c r="D35" s="203"/>
      <c r="E35" s="203"/>
      <c r="F35" s="203"/>
      <c r="G35" s="225">
        <f t="shared" si="1"/>
        <v>47000</v>
      </c>
      <c r="H35" s="225">
        <f t="shared" si="2"/>
        <v>35250</v>
      </c>
      <c r="I35" s="225">
        <f t="shared" si="9"/>
        <v>3916.6666666666665</v>
      </c>
      <c r="J35" s="40">
        <f t="shared" si="10"/>
        <v>39166.666666666664</v>
      </c>
      <c r="K35" s="265"/>
      <c r="L35" s="265"/>
      <c r="M35" s="265">
        <v>11508</v>
      </c>
      <c r="N35" s="265"/>
      <c r="O35" s="265"/>
      <c r="P35" s="265">
        <v>8699</v>
      </c>
      <c r="Q35" s="265"/>
      <c r="R35" s="265">
        <v>4597</v>
      </c>
      <c r="S35" s="265">
        <v>4094</v>
      </c>
      <c r="T35" s="265"/>
      <c r="U35" s="265"/>
      <c r="V35" s="265"/>
      <c r="W35" s="997">
        <f t="shared" si="3"/>
        <v>28898</v>
      </c>
      <c r="X35" s="989">
        <f t="shared" si="4"/>
        <v>0</v>
      </c>
      <c r="Y35" s="989">
        <f t="shared" si="5"/>
        <v>28898</v>
      </c>
      <c r="Z35" s="989">
        <f t="shared" si="6"/>
        <v>10268.666666666664</v>
      </c>
      <c r="AA35" s="1299">
        <f t="shared" si="7"/>
        <v>18102</v>
      </c>
    </row>
    <row r="36" spans="1:27" x14ac:dyDescent="0.25">
      <c r="A36" s="173" t="s">
        <v>405</v>
      </c>
      <c r="B36" s="116" t="s">
        <v>150</v>
      </c>
      <c r="C36" s="203"/>
      <c r="D36" s="203"/>
      <c r="E36" s="203"/>
      <c r="F36" s="203"/>
      <c r="G36" s="225">
        <f t="shared" si="1"/>
        <v>0</v>
      </c>
      <c r="H36" s="225">
        <f t="shared" si="2"/>
        <v>0</v>
      </c>
      <c r="I36" s="225">
        <f t="shared" si="9"/>
        <v>0</v>
      </c>
      <c r="J36" s="40">
        <f t="shared" si="10"/>
        <v>0</v>
      </c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997">
        <f t="shared" si="3"/>
        <v>0</v>
      </c>
      <c r="X36" s="989">
        <f t="shared" si="4"/>
        <v>0</v>
      </c>
      <c r="Y36" s="989">
        <f t="shared" si="5"/>
        <v>0</v>
      </c>
      <c r="Z36" s="989">
        <f t="shared" si="6"/>
        <v>0</v>
      </c>
      <c r="AA36" s="1299">
        <f t="shared" si="7"/>
        <v>0</v>
      </c>
    </row>
    <row r="37" spans="1:27" x14ac:dyDescent="0.25">
      <c r="A37" s="623" t="s">
        <v>924</v>
      </c>
      <c r="B37" s="116"/>
      <c r="C37" s="203">
        <v>15000</v>
      </c>
      <c r="D37" s="203"/>
      <c r="E37" s="203"/>
      <c r="F37" s="203"/>
      <c r="G37" s="225">
        <f t="shared" si="1"/>
        <v>15000</v>
      </c>
      <c r="H37" s="225">
        <f t="shared" si="2"/>
        <v>11250</v>
      </c>
      <c r="I37" s="225">
        <f t="shared" si="9"/>
        <v>1250</v>
      </c>
      <c r="J37" s="40">
        <f t="shared" si="10"/>
        <v>12500</v>
      </c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997">
        <f t="shared" si="3"/>
        <v>0</v>
      </c>
      <c r="X37" s="989">
        <f t="shared" si="4"/>
        <v>0</v>
      </c>
      <c r="Y37" s="989">
        <f t="shared" si="5"/>
        <v>0</v>
      </c>
      <c r="Z37" s="989">
        <f t="shared" si="6"/>
        <v>12500</v>
      </c>
      <c r="AA37" s="1299">
        <f t="shared" si="7"/>
        <v>15000</v>
      </c>
    </row>
    <row r="38" spans="1:27" x14ac:dyDescent="0.25">
      <c r="A38" s="173" t="s">
        <v>926</v>
      </c>
      <c r="B38" s="655" t="s">
        <v>62</v>
      </c>
      <c r="C38" s="203">
        <v>4000</v>
      </c>
      <c r="D38" s="203"/>
      <c r="E38" s="203"/>
      <c r="F38" s="203"/>
      <c r="G38" s="225">
        <f t="shared" si="1"/>
        <v>4000</v>
      </c>
      <c r="H38" s="225">
        <f t="shared" si="2"/>
        <v>3000</v>
      </c>
      <c r="I38" s="225">
        <f t="shared" si="9"/>
        <v>333.33333333333331</v>
      </c>
      <c r="J38" s="40">
        <f t="shared" si="10"/>
        <v>3333.3333333333335</v>
      </c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997">
        <f t="shared" si="3"/>
        <v>0</v>
      </c>
      <c r="X38" s="989">
        <f t="shared" si="4"/>
        <v>0</v>
      </c>
      <c r="Y38" s="989">
        <f t="shared" si="5"/>
        <v>0</v>
      </c>
      <c r="Z38" s="989">
        <f t="shared" si="6"/>
        <v>3333.3333333333335</v>
      </c>
      <c r="AA38" s="1299">
        <f t="shared" si="7"/>
        <v>4000</v>
      </c>
    </row>
    <row r="39" spans="1:27" x14ac:dyDescent="0.25">
      <c r="A39" s="173" t="s">
        <v>927</v>
      </c>
      <c r="B39" s="116" t="s">
        <v>153</v>
      </c>
      <c r="C39" s="203">
        <v>30000</v>
      </c>
      <c r="D39" s="203"/>
      <c r="E39" s="203"/>
      <c r="F39" s="203"/>
      <c r="G39" s="225">
        <f t="shared" si="1"/>
        <v>30000</v>
      </c>
      <c r="H39" s="225">
        <f t="shared" si="2"/>
        <v>22500</v>
      </c>
      <c r="I39" s="225">
        <f t="shared" si="9"/>
        <v>2500</v>
      </c>
      <c r="J39" s="40">
        <f t="shared" si="10"/>
        <v>25000</v>
      </c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997">
        <f t="shared" si="3"/>
        <v>0</v>
      </c>
      <c r="X39" s="989">
        <f t="shared" si="4"/>
        <v>0</v>
      </c>
      <c r="Y39" s="989">
        <f t="shared" si="5"/>
        <v>0</v>
      </c>
      <c r="Z39" s="989">
        <f t="shared" si="6"/>
        <v>25000</v>
      </c>
      <c r="AA39" s="1299">
        <f t="shared" si="7"/>
        <v>30000</v>
      </c>
    </row>
    <row r="40" spans="1:27" x14ac:dyDescent="0.25">
      <c r="A40" s="173" t="s">
        <v>69</v>
      </c>
      <c r="B40" s="116" t="s">
        <v>70</v>
      </c>
      <c r="C40" s="203">
        <v>270000</v>
      </c>
      <c r="D40" s="203"/>
      <c r="E40" s="203"/>
      <c r="F40" s="203"/>
      <c r="G40" s="225">
        <f t="shared" si="1"/>
        <v>270000</v>
      </c>
      <c r="H40" s="225">
        <f t="shared" si="2"/>
        <v>202500</v>
      </c>
      <c r="I40" s="225">
        <f t="shared" si="9"/>
        <v>22500</v>
      </c>
      <c r="J40" s="40">
        <f t="shared" si="10"/>
        <v>225000</v>
      </c>
      <c r="K40" s="989">
        <v>16401.48</v>
      </c>
      <c r="L40" s="989">
        <v>27620</v>
      </c>
      <c r="M40" s="989">
        <v>21595</v>
      </c>
      <c r="N40" s="989">
        <f>14550+7050</f>
        <v>21600</v>
      </c>
      <c r="O40" s="989">
        <v>21600</v>
      </c>
      <c r="P40" s="989">
        <v>23520</v>
      </c>
      <c r="Q40" s="989">
        <v>17750</v>
      </c>
      <c r="R40" s="989">
        <v>21600</v>
      </c>
      <c r="S40" s="989">
        <v>21600</v>
      </c>
      <c r="T40" s="989">
        <v>21600</v>
      </c>
      <c r="U40" s="989"/>
      <c r="V40" s="989"/>
      <c r="W40" s="997">
        <f>K40+L40+M40+N40+O40+P40+Q40+R40+S40</f>
        <v>193286.47999999998</v>
      </c>
      <c r="X40" s="989">
        <f t="shared" si="4"/>
        <v>21600</v>
      </c>
      <c r="Y40" s="989">
        <f t="shared" si="5"/>
        <v>214886.47999999998</v>
      </c>
      <c r="Z40" s="989">
        <f t="shared" si="6"/>
        <v>10113.520000000019</v>
      </c>
      <c r="AA40" s="1299">
        <f t="shared" si="7"/>
        <v>55113.520000000019</v>
      </c>
    </row>
    <row r="41" spans="1:27" x14ac:dyDescent="0.25">
      <c r="A41" s="975" t="s">
        <v>928</v>
      </c>
      <c r="B41" s="116" t="s">
        <v>76</v>
      </c>
      <c r="C41" s="203"/>
      <c r="D41" s="203"/>
      <c r="E41" s="203"/>
      <c r="F41" s="203"/>
      <c r="G41" s="225">
        <f t="shared" si="1"/>
        <v>0</v>
      </c>
      <c r="H41" s="225">
        <f t="shared" si="2"/>
        <v>0</v>
      </c>
      <c r="I41" s="225">
        <f t="shared" si="9"/>
        <v>0</v>
      </c>
      <c r="J41" s="40">
        <f t="shared" si="10"/>
        <v>0</v>
      </c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997">
        <f t="shared" si="3"/>
        <v>0</v>
      </c>
      <c r="X41" s="989">
        <f t="shared" si="4"/>
        <v>0</v>
      </c>
      <c r="Y41" s="989">
        <f t="shared" si="5"/>
        <v>0</v>
      </c>
      <c r="Z41" s="989">
        <f t="shared" si="6"/>
        <v>0</v>
      </c>
      <c r="AA41" s="1299">
        <f t="shared" si="7"/>
        <v>0</v>
      </c>
    </row>
    <row r="42" spans="1:27" x14ac:dyDescent="0.25">
      <c r="A42" s="623" t="s">
        <v>110</v>
      </c>
      <c r="B42" s="116"/>
      <c r="C42" s="203">
        <v>7500</v>
      </c>
      <c r="D42" s="203"/>
      <c r="E42" s="203"/>
      <c r="F42" s="203"/>
      <c r="G42" s="225">
        <f t="shared" si="1"/>
        <v>7500</v>
      </c>
      <c r="H42" s="225">
        <f t="shared" si="2"/>
        <v>5625</v>
      </c>
      <c r="I42" s="225">
        <f t="shared" si="9"/>
        <v>625</v>
      </c>
      <c r="J42" s="40">
        <f t="shared" si="10"/>
        <v>6250</v>
      </c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997">
        <f t="shared" si="3"/>
        <v>0</v>
      </c>
      <c r="X42" s="989">
        <f t="shared" si="4"/>
        <v>0</v>
      </c>
      <c r="Y42" s="989">
        <f t="shared" si="5"/>
        <v>0</v>
      </c>
      <c r="Z42" s="989">
        <f t="shared" si="6"/>
        <v>6250</v>
      </c>
      <c r="AA42" s="1299">
        <f t="shared" si="7"/>
        <v>7500</v>
      </c>
    </row>
    <row r="43" spans="1:27" x14ac:dyDescent="0.25">
      <c r="A43" s="623" t="s">
        <v>390</v>
      </c>
      <c r="B43" s="116"/>
      <c r="C43" s="203">
        <v>7500</v>
      </c>
      <c r="D43" s="203"/>
      <c r="E43" s="203"/>
      <c r="F43" s="203"/>
      <c r="G43" s="225">
        <f t="shared" si="1"/>
        <v>7500</v>
      </c>
      <c r="H43" s="225">
        <f t="shared" si="2"/>
        <v>5625</v>
      </c>
      <c r="I43" s="225">
        <f t="shared" si="9"/>
        <v>625</v>
      </c>
      <c r="J43" s="40">
        <f t="shared" si="10"/>
        <v>6250</v>
      </c>
      <c r="K43" s="265"/>
      <c r="L43" s="265"/>
      <c r="M43" s="265">
        <v>850</v>
      </c>
      <c r="N43" s="265"/>
      <c r="O43" s="265"/>
      <c r="P43" s="265"/>
      <c r="Q43" s="265">
        <v>900</v>
      </c>
      <c r="R43" s="265"/>
      <c r="S43" s="265"/>
      <c r="T43" s="265"/>
      <c r="U43" s="265"/>
      <c r="V43" s="265"/>
      <c r="W43" s="997">
        <f t="shared" si="3"/>
        <v>1750</v>
      </c>
      <c r="X43" s="989">
        <f t="shared" si="4"/>
        <v>0</v>
      </c>
      <c r="Y43" s="989">
        <f t="shared" si="5"/>
        <v>1750</v>
      </c>
      <c r="Z43" s="989">
        <f t="shared" si="6"/>
        <v>4500</v>
      </c>
      <c r="AA43" s="1299">
        <f t="shared" si="7"/>
        <v>5750</v>
      </c>
    </row>
    <row r="44" spans="1:27" x14ac:dyDescent="0.25">
      <c r="A44" s="975" t="s">
        <v>253</v>
      </c>
      <c r="B44" s="116" t="s">
        <v>93</v>
      </c>
      <c r="C44" s="203"/>
      <c r="D44" s="203"/>
      <c r="E44" s="203"/>
      <c r="F44" s="203"/>
      <c r="G44" s="225">
        <f t="shared" si="1"/>
        <v>0</v>
      </c>
      <c r="H44" s="225">
        <f t="shared" si="2"/>
        <v>0</v>
      </c>
      <c r="I44" s="225">
        <f t="shared" si="9"/>
        <v>0</v>
      </c>
      <c r="J44" s="40">
        <f t="shared" si="10"/>
        <v>0</v>
      </c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997">
        <f t="shared" si="3"/>
        <v>0</v>
      </c>
      <c r="X44" s="989">
        <f t="shared" si="4"/>
        <v>0</v>
      </c>
      <c r="Y44" s="989">
        <f t="shared" si="5"/>
        <v>0</v>
      </c>
      <c r="Z44" s="989">
        <f t="shared" si="6"/>
        <v>0</v>
      </c>
      <c r="AA44" s="1299">
        <f t="shared" si="7"/>
        <v>0</v>
      </c>
    </row>
    <row r="45" spans="1:27" x14ac:dyDescent="0.25">
      <c r="A45" s="623" t="s">
        <v>371</v>
      </c>
      <c r="B45" s="116"/>
      <c r="C45" s="203">
        <v>70000</v>
      </c>
      <c r="D45" s="203"/>
      <c r="E45" s="203"/>
      <c r="F45" s="203"/>
      <c r="G45" s="225">
        <f t="shared" si="1"/>
        <v>70000</v>
      </c>
      <c r="H45" s="225">
        <f t="shared" si="2"/>
        <v>52500</v>
      </c>
      <c r="I45" s="225">
        <f t="shared" si="9"/>
        <v>5833.333333333333</v>
      </c>
      <c r="J45" s="40">
        <f t="shared" si="10"/>
        <v>58333.333333333336</v>
      </c>
      <c r="K45" s="265"/>
      <c r="L45" s="265"/>
      <c r="M45" s="265">
        <v>820</v>
      </c>
      <c r="N45" s="265"/>
      <c r="O45" s="265"/>
      <c r="P45" s="265">
        <f>4800+32400</f>
        <v>37200</v>
      </c>
      <c r="Q45" s="265"/>
      <c r="R45" s="265">
        <v>2475</v>
      </c>
      <c r="S45" s="265"/>
      <c r="T45" s="265">
        <v>16721</v>
      </c>
      <c r="U45" s="265"/>
      <c r="V45" s="265"/>
      <c r="W45" s="997">
        <f t="shared" si="3"/>
        <v>40495</v>
      </c>
      <c r="X45" s="989">
        <f t="shared" si="4"/>
        <v>16721</v>
      </c>
      <c r="Y45" s="989">
        <f t="shared" si="5"/>
        <v>57216</v>
      </c>
      <c r="Z45" s="989">
        <f t="shared" si="6"/>
        <v>1117.3333333333358</v>
      </c>
      <c r="AA45" s="1299">
        <f t="shared" si="7"/>
        <v>12784</v>
      </c>
    </row>
    <row r="46" spans="1:27" x14ac:dyDescent="0.25">
      <c r="A46" s="623" t="s">
        <v>929</v>
      </c>
      <c r="B46" s="116"/>
      <c r="C46" s="203">
        <v>30000</v>
      </c>
      <c r="D46" s="203"/>
      <c r="E46" s="203"/>
      <c r="F46" s="203"/>
      <c r="G46" s="225">
        <f t="shared" si="1"/>
        <v>30000</v>
      </c>
      <c r="H46" s="225">
        <f t="shared" si="2"/>
        <v>22500</v>
      </c>
      <c r="I46" s="225">
        <f t="shared" si="9"/>
        <v>2500</v>
      </c>
      <c r="J46" s="40">
        <f t="shared" si="10"/>
        <v>25000</v>
      </c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997">
        <f t="shared" si="3"/>
        <v>0</v>
      </c>
      <c r="X46" s="989">
        <f t="shared" si="4"/>
        <v>0</v>
      </c>
      <c r="Y46" s="989">
        <f t="shared" si="5"/>
        <v>0</v>
      </c>
      <c r="Z46" s="989">
        <f t="shared" si="6"/>
        <v>25000</v>
      </c>
      <c r="AA46" s="1299">
        <f t="shared" si="7"/>
        <v>30000</v>
      </c>
    </row>
    <row r="47" spans="1:27" x14ac:dyDescent="0.25">
      <c r="A47" s="623" t="s">
        <v>925</v>
      </c>
      <c r="B47" s="116"/>
      <c r="C47" s="203"/>
      <c r="D47" s="203"/>
      <c r="E47" s="203"/>
      <c r="F47" s="203"/>
      <c r="G47" s="225">
        <f t="shared" si="1"/>
        <v>0</v>
      </c>
      <c r="H47" s="225">
        <f t="shared" si="2"/>
        <v>0</v>
      </c>
      <c r="I47" s="225">
        <f t="shared" si="9"/>
        <v>0</v>
      </c>
      <c r="J47" s="40">
        <f t="shared" si="10"/>
        <v>0</v>
      </c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997">
        <f t="shared" si="3"/>
        <v>0</v>
      </c>
      <c r="X47" s="989">
        <f t="shared" si="4"/>
        <v>0</v>
      </c>
      <c r="Y47" s="989">
        <f t="shared" si="5"/>
        <v>0</v>
      </c>
      <c r="Z47" s="989">
        <f t="shared" si="6"/>
        <v>0</v>
      </c>
      <c r="AA47" s="1299">
        <f t="shared" si="7"/>
        <v>0</v>
      </c>
    </row>
    <row r="48" spans="1:27" x14ac:dyDescent="0.25">
      <c r="A48" s="284" t="s">
        <v>405</v>
      </c>
      <c r="B48" s="116" t="s">
        <v>56</v>
      </c>
      <c r="C48" s="52"/>
      <c r="D48" s="720"/>
      <c r="E48" s="720"/>
      <c r="F48" s="720"/>
      <c r="G48" s="225">
        <f t="shared" si="1"/>
        <v>0</v>
      </c>
      <c r="H48" s="225">
        <f t="shared" si="2"/>
        <v>0</v>
      </c>
      <c r="I48" s="225">
        <f t="shared" si="9"/>
        <v>0</v>
      </c>
      <c r="J48" s="40">
        <f t="shared" si="10"/>
        <v>0</v>
      </c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997">
        <f t="shared" si="3"/>
        <v>0</v>
      </c>
      <c r="X48" s="989">
        <f t="shared" si="4"/>
        <v>0</v>
      </c>
      <c r="Y48" s="989">
        <f t="shared" si="5"/>
        <v>0</v>
      </c>
      <c r="Z48" s="989">
        <f t="shared" si="6"/>
        <v>0</v>
      </c>
      <c r="AA48" s="1299">
        <f t="shared" si="7"/>
        <v>0</v>
      </c>
    </row>
    <row r="49" spans="1:27" x14ac:dyDescent="0.25">
      <c r="A49" s="652" t="s">
        <v>930</v>
      </c>
      <c r="B49" s="116"/>
      <c r="C49" s="52">
        <v>101500</v>
      </c>
      <c r="D49" s="720"/>
      <c r="E49" s="720"/>
      <c r="F49" s="720"/>
      <c r="G49" s="225">
        <f t="shared" si="1"/>
        <v>101500</v>
      </c>
      <c r="H49" s="225">
        <f t="shared" si="2"/>
        <v>76125</v>
      </c>
      <c r="I49" s="225">
        <f t="shared" si="9"/>
        <v>8458.3333333333339</v>
      </c>
      <c r="J49" s="40">
        <f t="shared" si="10"/>
        <v>84583.333333333328</v>
      </c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997">
        <f t="shared" si="3"/>
        <v>0</v>
      </c>
      <c r="X49" s="989">
        <f t="shared" si="4"/>
        <v>0</v>
      </c>
      <c r="Y49" s="989">
        <f t="shared" si="5"/>
        <v>0</v>
      </c>
      <c r="Z49" s="989">
        <f t="shared" si="6"/>
        <v>84583.333333333328</v>
      </c>
      <c r="AA49" s="1299">
        <f t="shared" si="7"/>
        <v>101500</v>
      </c>
    </row>
    <row r="50" spans="1:27" x14ac:dyDescent="0.25">
      <c r="A50" s="653" t="s">
        <v>931</v>
      </c>
      <c r="B50" s="654"/>
      <c r="C50" s="656">
        <v>280000</v>
      </c>
      <c r="D50" s="656"/>
      <c r="E50" s="656"/>
      <c r="F50" s="656"/>
      <c r="G50" s="225">
        <f t="shared" si="1"/>
        <v>280000</v>
      </c>
      <c r="H50" s="225">
        <f t="shared" si="2"/>
        <v>210000</v>
      </c>
      <c r="I50" s="225">
        <f t="shared" si="9"/>
        <v>23333.333333333332</v>
      </c>
      <c r="J50" s="40">
        <f t="shared" si="10"/>
        <v>233333.33333333334</v>
      </c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997">
        <f t="shared" si="3"/>
        <v>0</v>
      </c>
      <c r="X50" s="989">
        <f t="shared" si="4"/>
        <v>0</v>
      </c>
      <c r="Y50" s="989">
        <f t="shared" si="5"/>
        <v>0</v>
      </c>
      <c r="Z50" s="989">
        <f t="shared" si="6"/>
        <v>233333.33333333334</v>
      </c>
      <c r="AA50" s="1299">
        <f t="shared" si="7"/>
        <v>280000</v>
      </c>
    </row>
    <row r="51" spans="1:27" ht="26.25" customHeight="1" x14ac:dyDescent="0.25">
      <c r="A51" s="976" t="s">
        <v>932</v>
      </c>
      <c r="B51" s="654"/>
      <c r="C51" s="203"/>
      <c r="D51" s="203"/>
      <c r="E51" s="203"/>
      <c r="F51" s="203"/>
      <c r="G51" s="225">
        <f t="shared" si="1"/>
        <v>0</v>
      </c>
      <c r="H51" s="225">
        <f t="shared" si="2"/>
        <v>0</v>
      </c>
      <c r="I51" s="225">
        <f t="shared" si="9"/>
        <v>0</v>
      </c>
      <c r="J51" s="40">
        <f t="shared" si="10"/>
        <v>0</v>
      </c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997">
        <f t="shared" si="3"/>
        <v>0</v>
      </c>
      <c r="X51" s="989">
        <f t="shared" si="4"/>
        <v>0</v>
      </c>
      <c r="Y51" s="989">
        <f t="shared" si="5"/>
        <v>0</v>
      </c>
      <c r="Z51" s="989">
        <f t="shared" si="6"/>
        <v>0</v>
      </c>
      <c r="AA51" s="1299">
        <f t="shared" si="7"/>
        <v>0</v>
      </c>
    </row>
    <row r="52" spans="1:27" x14ac:dyDescent="0.25">
      <c r="A52" s="173" t="s">
        <v>44</v>
      </c>
      <c r="B52" s="654" t="s">
        <v>140</v>
      </c>
      <c r="C52" s="203"/>
      <c r="D52" s="203"/>
      <c r="E52" s="203"/>
      <c r="F52" s="203"/>
      <c r="G52" s="225">
        <f t="shared" si="1"/>
        <v>0</v>
      </c>
      <c r="H52" s="225">
        <f t="shared" si="2"/>
        <v>0</v>
      </c>
      <c r="I52" s="225">
        <f t="shared" si="9"/>
        <v>0</v>
      </c>
      <c r="J52" s="40">
        <f t="shared" si="10"/>
        <v>0</v>
      </c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997">
        <f t="shared" si="3"/>
        <v>0</v>
      </c>
      <c r="X52" s="989">
        <f t="shared" si="4"/>
        <v>0</v>
      </c>
      <c r="Y52" s="989">
        <f t="shared" si="5"/>
        <v>0</v>
      </c>
      <c r="Z52" s="989">
        <f t="shared" si="6"/>
        <v>0</v>
      </c>
      <c r="AA52" s="1299">
        <f t="shared" si="7"/>
        <v>0</v>
      </c>
    </row>
    <row r="53" spans="1:27" x14ac:dyDescent="0.25">
      <c r="A53" s="651" t="s">
        <v>933</v>
      </c>
      <c r="B53" s="654"/>
      <c r="C53" s="203">
        <v>200000</v>
      </c>
      <c r="D53" s="203"/>
      <c r="E53" s="203"/>
      <c r="F53" s="203"/>
      <c r="G53" s="225">
        <f t="shared" si="1"/>
        <v>200000</v>
      </c>
      <c r="H53" s="225">
        <f t="shared" si="2"/>
        <v>150000</v>
      </c>
      <c r="I53" s="225">
        <f t="shared" si="9"/>
        <v>16666.666666666668</v>
      </c>
      <c r="J53" s="40">
        <f t="shared" si="10"/>
        <v>166666.66666666666</v>
      </c>
      <c r="K53" s="265"/>
      <c r="L53" s="265"/>
      <c r="M53" s="265"/>
      <c r="N53" s="265"/>
      <c r="O53" s="265"/>
      <c r="P53" s="265"/>
      <c r="Q53" s="265"/>
      <c r="R53" s="265">
        <v>200000</v>
      </c>
      <c r="S53" s="265"/>
      <c r="T53" s="265"/>
      <c r="U53" s="265"/>
      <c r="V53" s="265"/>
      <c r="W53" s="997">
        <f t="shared" si="3"/>
        <v>200000</v>
      </c>
      <c r="X53" s="989">
        <f t="shared" si="4"/>
        <v>0</v>
      </c>
      <c r="Y53" s="989">
        <f t="shared" si="5"/>
        <v>200000</v>
      </c>
      <c r="Z53" s="989">
        <f t="shared" si="6"/>
        <v>-33333.333333333343</v>
      </c>
      <c r="AA53" s="1299">
        <f t="shared" si="7"/>
        <v>0</v>
      </c>
    </row>
    <row r="54" spans="1:27" x14ac:dyDescent="0.25">
      <c r="A54" s="173" t="s">
        <v>377</v>
      </c>
      <c r="B54" s="116" t="s">
        <v>150</v>
      </c>
      <c r="C54" s="52"/>
      <c r="D54" s="720"/>
      <c r="E54" s="720"/>
      <c r="F54" s="720"/>
      <c r="G54" s="225">
        <f t="shared" si="1"/>
        <v>0</v>
      </c>
      <c r="H54" s="225">
        <f t="shared" si="2"/>
        <v>0</v>
      </c>
      <c r="I54" s="225">
        <f t="shared" si="9"/>
        <v>0</v>
      </c>
      <c r="J54" s="40">
        <f t="shared" si="10"/>
        <v>0</v>
      </c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997">
        <f t="shared" si="3"/>
        <v>0</v>
      </c>
      <c r="X54" s="989">
        <f t="shared" si="4"/>
        <v>0</v>
      </c>
      <c r="Y54" s="989">
        <f t="shared" si="5"/>
        <v>0</v>
      </c>
      <c r="Z54" s="989">
        <f t="shared" si="6"/>
        <v>0</v>
      </c>
      <c r="AA54" s="1299">
        <f t="shared" si="7"/>
        <v>0</v>
      </c>
    </row>
    <row r="55" spans="1:27" x14ac:dyDescent="0.25">
      <c r="A55" s="651" t="s">
        <v>934</v>
      </c>
      <c r="B55" s="116"/>
      <c r="C55" s="52">
        <v>30000</v>
      </c>
      <c r="D55" s="720"/>
      <c r="E55" s="720"/>
      <c r="F55" s="720"/>
      <c r="G55" s="225">
        <f t="shared" si="1"/>
        <v>30000</v>
      </c>
      <c r="H55" s="225">
        <f t="shared" si="2"/>
        <v>22500</v>
      </c>
      <c r="I55" s="225">
        <f t="shared" si="9"/>
        <v>2500</v>
      </c>
      <c r="J55" s="40">
        <f t="shared" si="10"/>
        <v>25000</v>
      </c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997">
        <f t="shared" si="3"/>
        <v>0</v>
      </c>
      <c r="X55" s="989">
        <f t="shared" si="4"/>
        <v>0</v>
      </c>
      <c r="Y55" s="989">
        <f t="shared" si="5"/>
        <v>0</v>
      </c>
      <c r="Z55" s="989">
        <f t="shared" si="6"/>
        <v>25000</v>
      </c>
      <c r="AA55" s="1299">
        <f t="shared" si="7"/>
        <v>30000</v>
      </c>
    </row>
    <row r="56" spans="1:27" x14ac:dyDescent="0.25">
      <c r="A56" s="173" t="s">
        <v>583</v>
      </c>
      <c r="B56" s="116" t="s">
        <v>600</v>
      </c>
      <c r="C56" s="52">
        <v>150000</v>
      </c>
      <c r="D56" s="720"/>
      <c r="E56" s="720"/>
      <c r="F56" s="720"/>
      <c r="G56" s="225">
        <f t="shared" si="1"/>
        <v>150000</v>
      </c>
      <c r="H56" s="225">
        <f t="shared" si="2"/>
        <v>112500</v>
      </c>
      <c r="I56" s="225">
        <f t="shared" si="9"/>
        <v>12500</v>
      </c>
      <c r="J56" s="40">
        <f t="shared" si="10"/>
        <v>125000</v>
      </c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997">
        <f t="shared" si="3"/>
        <v>0</v>
      </c>
      <c r="X56" s="989">
        <f t="shared" si="4"/>
        <v>0</v>
      </c>
      <c r="Y56" s="989">
        <f t="shared" si="5"/>
        <v>0</v>
      </c>
      <c r="Z56" s="989">
        <f t="shared" si="6"/>
        <v>125000</v>
      </c>
      <c r="AA56" s="1299">
        <f t="shared" si="7"/>
        <v>150000</v>
      </c>
    </row>
    <row r="57" spans="1:27" x14ac:dyDescent="0.25">
      <c r="A57" s="173" t="s">
        <v>69</v>
      </c>
      <c r="B57" s="116" t="s">
        <v>70</v>
      </c>
      <c r="C57" s="52"/>
      <c r="D57" s="720"/>
      <c r="E57" s="720"/>
      <c r="F57" s="720"/>
      <c r="G57" s="225">
        <f t="shared" si="1"/>
        <v>0</v>
      </c>
      <c r="H57" s="225">
        <f t="shared" si="2"/>
        <v>0</v>
      </c>
      <c r="I57" s="225">
        <f t="shared" si="9"/>
        <v>0</v>
      </c>
      <c r="J57" s="40">
        <f t="shared" si="10"/>
        <v>0</v>
      </c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997">
        <f t="shared" si="3"/>
        <v>0</v>
      </c>
      <c r="X57" s="989">
        <f t="shared" si="4"/>
        <v>0</v>
      </c>
      <c r="Y57" s="989">
        <f t="shared" si="5"/>
        <v>0</v>
      </c>
      <c r="Z57" s="989">
        <f t="shared" si="6"/>
        <v>0</v>
      </c>
      <c r="AA57" s="1299">
        <f t="shared" si="7"/>
        <v>0</v>
      </c>
    </row>
    <row r="58" spans="1:27" x14ac:dyDescent="0.25">
      <c r="A58" s="651" t="s">
        <v>935</v>
      </c>
      <c r="B58" s="116"/>
      <c r="C58" s="52">
        <v>75000</v>
      </c>
      <c r="D58" s="720"/>
      <c r="E58" s="720"/>
      <c r="F58" s="720"/>
      <c r="G58" s="225">
        <f t="shared" si="1"/>
        <v>75000</v>
      </c>
      <c r="H58" s="225">
        <f t="shared" si="2"/>
        <v>56250</v>
      </c>
      <c r="I58" s="225">
        <f t="shared" si="9"/>
        <v>6250</v>
      </c>
      <c r="J58" s="40">
        <f t="shared" si="10"/>
        <v>62500</v>
      </c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997">
        <f t="shared" si="3"/>
        <v>0</v>
      </c>
      <c r="X58" s="989">
        <f t="shared" si="4"/>
        <v>0</v>
      </c>
      <c r="Y58" s="989">
        <f t="shared" si="5"/>
        <v>0</v>
      </c>
      <c r="Z58" s="989">
        <f t="shared" si="6"/>
        <v>62500</v>
      </c>
      <c r="AA58" s="1299">
        <f t="shared" si="7"/>
        <v>75000</v>
      </c>
    </row>
    <row r="59" spans="1:27" x14ac:dyDescent="0.25">
      <c r="A59" s="173" t="s">
        <v>253</v>
      </c>
      <c r="B59" s="116" t="s">
        <v>93</v>
      </c>
      <c r="C59" s="52">
        <v>45000</v>
      </c>
      <c r="D59" s="720"/>
      <c r="E59" s="720"/>
      <c r="F59" s="720"/>
      <c r="G59" s="225">
        <f t="shared" si="1"/>
        <v>45000</v>
      </c>
      <c r="H59" s="225">
        <f t="shared" si="2"/>
        <v>33750</v>
      </c>
      <c r="I59" s="225">
        <f t="shared" si="9"/>
        <v>3750</v>
      </c>
      <c r="J59" s="40">
        <f t="shared" si="10"/>
        <v>37500</v>
      </c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997">
        <f t="shared" si="3"/>
        <v>0</v>
      </c>
      <c r="X59" s="989">
        <f t="shared" si="4"/>
        <v>0</v>
      </c>
      <c r="Y59" s="989">
        <f t="shared" si="5"/>
        <v>0</v>
      </c>
      <c r="Z59" s="989">
        <f t="shared" si="6"/>
        <v>37500</v>
      </c>
      <c r="AA59" s="1299">
        <f t="shared" si="7"/>
        <v>45000</v>
      </c>
    </row>
    <row r="60" spans="1:27" x14ac:dyDescent="0.25">
      <c r="A60" s="975" t="s">
        <v>292</v>
      </c>
      <c r="B60" s="116"/>
      <c r="C60" s="203"/>
      <c r="D60" s="203"/>
      <c r="E60" s="203"/>
      <c r="F60" s="203"/>
      <c r="G60" s="225">
        <f t="shared" si="1"/>
        <v>0</v>
      </c>
      <c r="H60" s="225">
        <f t="shared" si="2"/>
        <v>0</v>
      </c>
      <c r="I60" s="225">
        <f t="shared" si="9"/>
        <v>0</v>
      </c>
      <c r="J60" s="40">
        <f t="shared" si="10"/>
        <v>0</v>
      </c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997">
        <f t="shared" si="3"/>
        <v>0</v>
      </c>
      <c r="X60" s="989">
        <f t="shared" si="4"/>
        <v>0</v>
      </c>
      <c r="Y60" s="989">
        <f t="shared" si="5"/>
        <v>0</v>
      </c>
      <c r="Z60" s="989">
        <f t="shared" si="6"/>
        <v>0</v>
      </c>
      <c r="AA60" s="1299">
        <f t="shared" si="7"/>
        <v>0</v>
      </c>
    </row>
    <row r="61" spans="1:27" x14ac:dyDescent="0.25">
      <c r="A61" s="173" t="s">
        <v>377</v>
      </c>
      <c r="B61" s="116" t="s">
        <v>150</v>
      </c>
      <c r="C61" s="52">
        <v>12000</v>
      </c>
      <c r="D61" s="720"/>
      <c r="E61" s="720"/>
      <c r="F61" s="720"/>
      <c r="G61" s="225">
        <f t="shared" si="1"/>
        <v>12000</v>
      </c>
      <c r="H61" s="225">
        <f t="shared" si="2"/>
        <v>9000</v>
      </c>
      <c r="I61" s="225">
        <f t="shared" si="9"/>
        <v>1000</v>
      </c>
      <c r="J61" s="40">
        <f t="shared" si="10"/>
        <v>10000</v>
      </c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997">
        <f t="shared" si="3"/>
        <v>0</v>
      </c>
      <c r="X61" s="989">
        <f t="shared" si="4"/>
        <v>0</v>
      </c>
      <c r="Y61" s="989">
        <f t="shared" si="5"/>
        <v>0</v>
      </c>
      <c r="Z61" s="989">
        <f t="shared" si="6"/>
        <v>10000</v>
      </c>
      <c r="AA61" s="1299">
        <f t="shared" si="7"/>
        <v>12000</v>
      </c>
    </row>
    <row r="62" spans="1:27" x14ac:dyDescent="0.25">
      <c r="A62" s="651" t="s">
        <v>936</v>
      </c>
      <c r="B62" s="116"/>
      <c r="C62" s="52">
        <v>90000</v>
      </c>
      <c r="D62" s="720"/>
      <c r="E62" s="720"/>
      <c r="F62" s="720"/>
      <c r="G62" s="225">
        <f t="shared" si="1"/>
        <v>90000</v>
      </c>
      <c r="H62" s="225">
        <f t="shared" si="2"/>
        <v>67500</v>
      </c>
      <c r="I62" s="225">
        <f t="shared" si="9"/>
        <v>7500</v>
      </c>
      <c r="J62" s="40">
        <f t="shared" si="10"/>
        <v>75000</v>
      </c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997">
        <f t="shared" si="3"/>
        <v>0</v>
      </c>
      <c r="X62" s="989">
        <f t="shared" si="4"/>
        <v>0</v>
      </c>
      <c r="Y62" s="989">
        <f t="shared" si="5"/>
        <v>0</v>
      </c>
      <c r="Z62" s="989">
        <f t="shared" si="6"/>
        <v>75000</v>
      </c>
      <c r="AA62" s="1299">
        <f t="shared" si="7"/>
        <v>90000</v>
      </c>
    </row>
    <row r="63" spans="1:27" x14ac:dyDescent="0.25">
      <c r="A63" s="173" t="s">
        <v>69</v>
      </c>
      <c r="B63" s="116" t="s">
        <v>70</v>
      </c>
      <c r="C63" s="52"/>
      <c r="D63" s="720"/>
      <c r="E63" s="720"/>
      <c r="F63" s="720"/>
      <c r="G63" s="225">
        <f t="shared" si="1"/>
        <v>0</v>
      </c>
      <c r="H63" s="225">
        <f t="shared" si="2"/>
        <v>0</v>
      </c>
      <c r="I63" s="225">
        <f t="shared" si="9"/>
        <v>0</v>
      </c>
      <c r="J63" s="40">
        <f t="shared" si="10"/>
        <v>0</v>
      </c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997">
        <f t="shared" si="3"/>
        <v>0</v>
      </c>
      <c r="X63" s="989">
        <f t="shared" si="4"/>
        <v>0</v>
      </c>
      <c r="Y63" s="989">
        <f t="shared" si="5"/>
        <v>0</v>
      </c>
      <c r="Z63" s="989">
        <f t="shared" si="6"/>
        <v>0</v>
      </c>
      <c r="AA63" s="1299">
        <f t="shared" si="7"/>
        <v>0</v>
      </c>
    </row>
    <row r="64" spans="1:27" x14ac:dyDescent="0.25">
      <c r="A64" s="651" t="s">
        <v>937</v>
      </c>
      <c r="B64" s="116"/>
      <c r="C64" s="52">
        <v>10500</v>
      </c>
      <c r="D64" s="720"/>
      <c r="E64" s="720"/>
      <c r="F64" s="720"/>
      <c r="G64" s="225">
        <f t="shared" si="1"/>
        <v>10500</v>
      </c>
      <c r="H64" s="225">
        <f t="shared" si="2"/>
        <v>7875</v>
      </c>
      <c r="I64" s="225">
        <f t="shared" si="9"/>
        <v>875</v>
      </c>
      <c r="J64" s="40">
        <f t="shared" si="10"/>
        <v>8750</v>
      </c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997">
        <f t="shared" si="3"/>
        <v>0</v>
      </c>
      <c r="X64" s="989">
        <f t="shared" si="4"/>
        <v>0</v>
      </c>
      <c r="Y64" s="989">
        <f t="shared" si="5"/>
        <v>0</v>
      </c>
      <c r="Z64" s="989">
        <f t="shared" si="6"/>
        <v>8750</v>
      </c>
      <c r="AA64" s="1299">
        <f t="shared" si="7"/>
        <v>10500</v>
      </c>
    </row>
    <row r="65" spans="1:27" x14ac:dyDescent="0.25">
      <c r="A65" s="173" t="s">
        <v>253</v>
      </c>
      <c r="B65" s="100" t="s">
        <v>93</v>
      </c>
      <c r="C65" s="52">
        <v>37500</v>
      </c>
      <c r="D65" s="720"/>
      <c r="E65" s="720"/>
      <c r="F65" s="720"/>
      <c r="G65" s="225">
        <f t="shared" si="1"/>
        <v>37500</v>
      </c>
      <c r="H65" s="225">
        <f t="shared" si="2"/>
        <v>28125</v>
      </c>
      <c r="I65" s="225">
        <f t="shared" si="9"/>
        <v>3125</v>
      </c>
      <c r="J65" s="40">
        <f t="shared" si="10"/>
        <v>31250</v>
      </c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997">
        <f t="shared" si="3"/>
        <v>0</v>
      </c>
      <c r="X65" s="989">
        <f t="shared" si="4"/>
        <v>0</v>
      </c>
      <c r="Y65" s="989">
        <f t="shared" si="5"/>
        <v>0</v>
      </c>
      <c r="Z65" s="989">
        <f t="shared" si="6"/>
        <v>31250</v>
      </c>
      <c r="AA65" s="1299">
        <f t="shared" si="7"/>
        <v>37500</v>
      </c>
    </row>
    <row r="66" spans="1:27" x14ac:dyDescent="0.25">
      <c r="A66" s="975" t="s">
        <v>293</v>
      </c>
      <c r="B66" s="116"/>
      <c r="C66" s="203"/>
      <c r="D66" s="203"/>
      <c r="E66" s="203"/>
      <c r="F66" s="203"/>
      <c r="G66" s="225">
        <f t="shared" si="1"/>
        <v>0</v>
      </c>
      <c r="H66" s="225">
        <f t="shared" si="2"/>
        <v>0</v>
      </c>
      <c r="I66" s="225">
        <f t="shared" si="9"/>
        <v>0</v>
      </c>
      <c r="J66" s="40">
        <f t="shared" si="10"/>
        <v>0</v>
      </c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997">
        <f t="shared" si="3"/>
        <v>0</v>
      </c>
      <c r="X66" s="989">
        <f t="shared" si="4"/>
        <v>0</v>
      </c>
      <c r="Y66" s="989">
        <f t="shared" si="5"/>
        <v>0</v>
      </c>
      <c r="Z66" s="989">
        <f t="shared" si="6"/>
        <v>0</v>
      </c>
      <c r="AA66" s="1299">
        <f t="shared" si="7"/>
        <v>0</v>
      </c>
    </row>
    <row r="67" spans="1:27" x14ac:dyDescent="0.25">
      <c r="A67" s="173" t="s">
        <v>377</v>
      </c>
      <c r="B67" s="116" t="s">
        <v>150</v>
      </c>
      <c r="C67" s="203">
        <v>3000</v>
      </c>
      <c r="D67" s="203"/>
      <c r="E67" s="203"/>
      <c r="F67" s="203"/>
      <c r="G67" s="225">
        <f t="shared" si="1"/>
        <v>3000</v>
      </c>
      <c r="H67" s="225">
        <f t="shared" si="2"/>
        <v>2250</v>
      </c>
      <c r="I67" s="225">
        <f t="shared" si="9"/>
        <v>250</v>
      </c>
      <c r="J67" s="40">
        <f t="shared" si="10"/>
        <v>2500</v>
      </c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997">
        <f t="shared" si="3"/>
        <v>0</v>
      </c>
      <c r="X67" s="989">
        <f t="shared" si="4"/>
        <v>0</v>
      </c>
      <c r="Y67" s="989">
        <f t="shared" si="5"/>
        <v>0</v>
      </c>
      <c r="Z67" s="989">
        <f t="shared" si="6"/>
        <v>2500</v>
      </c>
      <c r="AA67" s="1299">
        <f t="shared" si="7"/>
        <v>3000</v>
      </c>
    </row>
    <row r="68" spans="1:27" x14ac:dyDescent="0.25">
      <c r="A68" s="173" t="s">
        <v>583</v>
      </c>
      <c r="B68" s="116" t="s">
        <v>600</v>
      </c>
      <c r="C68" s="203">
        <v>7000</v>
      </c>
      <c r="D68" s="203"/>
      <c r="E68" s="203"/>
      <c r="F68" s="203"/>
      <c r="G68" s="225">
        <f t="shared" si="1"/>
        <v>7000</v>
      </c>
      <c r="H68" s="225">
        <f t="shared" si="2"/>
        <v>5250</v>
      </c>
      <c r="I68" s="225">
        <f t="shared" si="9"/>
        <v>583.33333333333337</v>
      </c>
      <c r="J68" s="40">
        <f t="shared" si="10"/>
        <v>5833.333333333333</v>
      </c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997">
        <f t="shared" si="3"/>
        <v>0</v>
      </c>
      <c r="X68" s="989">
        <f t="shared" si="4"/>
        <v>0</v>
      </c>
      <c r="Y68" s="989">
        <f t="shared" si="5"/>
        <v>0</v>
      </c>
      <c r="Z68" s="989">
        <f t="shared" si="6"/>
        <v>5833.333333333333</v>
      </c>
      <c r="AA68" s="1299">
        <f t="shared" si="7"/>
        <v>7000</v>
      </c>
    </row>
    <row r="69" spans="1:27" x14ac:dyDescent="0.25">
      <c r="A69" s="975" t="s">
        <v>294</v>
      </c>
      <c r="B69" s="116"/>
      <c r="C69" s="203"/>
      <c r="D69" s="203"/>
      <c r="E69" s="203"/>
      <c r="F69" s="203"/>
      <c r="G69" s="225">
        <f t="shared" si="1"/>
        <v>0</v>
      </c>
      <c r="H69" s="225">
        <f t="shared" si="2"/>
        <v>0</v>
      </c>
      <c r="I69" s="225">
        <f t="shared" si="9"/>
        <v>0</v>
      </c>
      <c r="J69" s="40">
        <f t="shared" si="10"/>
        <v>0</v>
      </c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  <c r="W69" s="997">
        <f t="shared" si="3"/>
        <v>0</v>
      </c>
      <c r="X69" s="989">
        <f t="shared" si="4"/>
        <v>0</v>
      </c>
      <c r="Y69" s="989">
        <f t="shared" si="5"/>
        <v>0</v>
      </c>
      <c r="Z69" s="989">
        <f t="shared" si="6"/>
        <v>0</v>
      </c>
      <c r="AA69" s="1299">
        <f t="shared" si="7"/>
        <v>0</v>
      </c>
    </row>
    <row r="70" spans="1:27" x14ac:dyDescent="0.25">
      <c r="A70" s="173" t="s">
        <v>139</v>
      </c>
      <c r="B70" s="116" t="s">
        <v>43</v>
      </c>
      <c r="C70" s="203">
        <v>10000</v>
      </c>
      <c r="D70" s="203"/>
      <c r="E70" s="203"/>
      <c r="F70" s="203"/>
      <c r="G70" s="225">
        <f t="shared" si="1"/>
        <v>10000</v>
      </c>
      <c r="H70" s="225">
        <f t="shared" si="2"/>
        <v>7500</v>
      </c>
      <c r="I70" s="225">
        <f t="shared" ref="I70:I130" si="11">G70/12</f>
        <v>833.33333333333337</v>
      </c>
      <c r="J70" s="40">
        <f t="shared" ref="J70:J130" si="12">H70+I70</f>
        <v>8333.3333333333339</v>
      </c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997">
        <f t="shared" si="3"/>
        <v>0</v>
      </c>
      <c r="X70" s="989">
        <f t="shared" si="4"/>
        <v>0</v>
      </c>
      <c r="Y70" s="989">
        <f t="shared" si="5"/>
        <v>0</v>
      </c>
      <c r="Z70" s="989">
        <f t="shared" si="6"/>
        <v>8333.3333333333339</v>
      </c>
      <c r="AA70" s="1299">
        <f t="shared" si="7"/>
        <v>10000</v>
      </c>
    </row>
    <row r="71" spans="1:27" x14ac:dyDescent="0.25">
      <c r="A71" s="651" t="s">
        <v>938</v>
      </c>
      <c r="B71" s="116"/>
      <c r="C71" s="203">
        <v>10000</v>
      </c>
      <c r="D71" s="203"/>
      <c r="E71" s="203"/>
      <c r="F71" s="203"/>
      <c r="G71" s="225">
        <f t="shared" si="1"/>
        <v>10000</v>
      </c>
      <c r="H71" s="225">
        <f t="shared" si="2"/>
        <v>7500</v>
      </c>
      <c r="I71" s="225">
        <f t="shared" si="11"/>
        <v>833.33333333333337</v>
      </c>
      <c r="J71" s="40">
        <f t="shared" si="12"/>
        <v>8333.3333333333339</v>
      </c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997">
        <f t="shared" si="3"/>
        <v>0</v>
      </c>
      <c r="X71" s="989">
        <f t="shared" si="4"/>
        <v>0</v>
      </c>
      <c r="Y71" s="989">
        <f t="shared" si="5"/>
        <v>0</v>
      </c>
      <c r="Z71" s="989">
        <f t="shared" si="6"/>
        <v>8333.3333333333339</v>
      </c>
      <c r="AA71" s="1299">
        <f t="shared" si="7"/>
        <v>10000</v>
      </c>
    </row>
    <row r="72" spans="1:27" x14ac:dyDescent="0.25">
      <c r="A72" s="173" t="s">
        <v>44</v>
      </c>
      <c r="B72" s="116" t="s">
        <v>140</v>
      </c>
      <c r="C72" s="52">
        <v>10000</v>
      </c>
      <c r="D72" s="720"/>
      <c r="E72" s="720"/>
      <c r="F72" s="720"/>
      <c r="G72" s="225">
        <f t="shared" si="1"/>
        <v>10000</v>
      </c>
      <c r="H72" s="225">
        <f t="shared" si="2"/>
        <v>7500</v>
      </c>
      <c r="I72" s="225">
        <f t="shared" si="11"/>
        <v>833.33333333333337</v>
      </c>
      <c r="J72" s="40">
        <f t="shared" si="12"/>
        <v>8333.3333333333339</v>
      </c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997">
        <f t="shared" si="3"/>
        <v>0</v>
      </c>
      <c r="X72" s="989">
        <f t="shared" si="4"/>
        <v>0</v>
      </c>
      <c r="Y72" s="989">
        <f t="shared" si="5"/>
        <v>0</v>
      </c>
      <c r="Z72" s="989">
        <f t="shared" si="6"/>
        <v>8333.3333333333339</v>
      </c>
      <c r="AA72" s="1299">
        <f t="shared" si="7"/>
        <v>10000</v>
      </c>
    </row>
    <row r="73" spans="1:27" x14ac:dyDescent="0.25">
      <c r="A73" s="173" t="s">
        <v>50</v>
      </c>
      <c r="B73" s="116" t="s">
        <v>51</v>
      </c>
      <c r="C73" s="52">
        <v>5000</v>
      </c>
      <c r="D73" s="720"/>
      <c r="E73" s="720"/>
      <c r="F73" s="720"/>
      <c r="G73" s="225">
        <f t="shared" si="1"/>
        <v>5000</v>
      </c>
      <c r="H73" s="225">
        <f t="shared" si="2"/>
        <v>3750</v>
      </c>
      <c r="I73" s="225">
        <f t="shared" si="11"/>
        <v>416.66666666666669</v>
      </c>
      <c r="J73" s="40">
        <f t="shared" si="12"/>
        <v>4166.666666666667</v>
      </c>
      <c r="K73" s="265"/>
      <c r="L73" s="265"/>
      <c r="M73" s="265">
        <v>5000</v>
      </c>
      <c r="N73" s="265"/>
      <c r="O73" s="265"/>
      <c r="P73" s="265"/>
      <c r="Q73" s="265"/>
      <c r="R73" s="265"/>
      <c r="S73" s="265"/>
      <c r="T73" s="265"/>
      <c r="U73" s="265"/>
      <c r="V73" s="265"/>
      <c r="W73" s="997">
        <f t="shared" si="3"/>
        <v>5000</v>
      </c>
      <c r="X73" s="989">
        <f t="shared" si="4"/>
        <v>0</v>
      </c>
      <c r="Y73" s="989">
        <f t="shared" si="5"/>
        <v>5000</v>
      </c>
      <c r="Z73" s="989">
        <f t="shared" si="6"/>
        <v>-833.33333333333303</v>
      </c>
      <c r="AA73" s="1299">
        <f t="shared" si="7"/>
        <v>0</v>
      </c>
    </row>
    <row r="74" spans="1:27" x14ac:dyDescent="0.25">
      <c r="A74" s="173" t="s">
        <v>69</v>
      </c>
      <c r="B74" s="116" t="s">
        <v>70</v>
      </c>
      <c r="C74" s="52"/>
      <c r="D74" s="720"/>
      <c r="E74" s="720"/>
      <c r="F74" s="720"/>
      <c r="G74" s="225">
        <f t="shared" ref="G74:G137" si="13">SUM(C74:F74)</f>
        <v>0</v>
      </c>
      <c r="H74" s="225">
        <f t="shared" ref="H74:H137" si="14">G74/12*9</f>
        <v>0</v>
      </c>
      <c r="I74" s="225">
        <f t="shared" si="11"/>
        <v>0</v>
      </c>
      <c r="J74" s="40">
        <f t="shared" si="12"/>
        <v>0</v>
      </c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997">
        <f t="shared" ref="W74:W137" si="15">K74+L74+M74+N74+O74+P74+Q74+R74+S74</f>
        <v>0</v>
      </c>
      <c r="X74" s="989">
        <f t="shared" ref="X74:X137" si="16">T74</f>
        <v>0</v>
      </c>
      <c r="Y74" s="989">
        <f t="shared" si="5"/>
        <v>0</v>
      </c>
      <c r="Z74" s="989">
        <f t="shared" ref="Z74:Z137" si="17">J74-Y74</f>
        <v>0</v>
      </c>
      <c r="AA74" s="1299">
        <f t="shared" ref="AA74:AA137" si="18">G74-Y74</f>
        <v>0</v>
      </c>
    </row>
    <row r="75" spans="1:27" x14ac:dyDescent="0.25">
      <c r="A75" s="651" t="s">
        <v>939</v>
      </c>
      <c r="B75" s="173"/>
      <c r="C75" s="432">
        <v>30000</v>
      </c>
      <c r="D75" s="432"/>
      <c r="E75" s="432"/>
      <c r="F75" s="432"/>
      <c r="G75" s="225">
        <f t="shared" si="13"/>
        <v>30000</v>
      </c>
      <c r="H75" s="225">
        <f t="shared" si="14"/>
        <v>22500</v>
      </c>
      <c r="I75" s="225">
        <f t="shared" si="11"/>
        <v>2500</v>
      </c>
      <c r="J75" s="40">
        <f t="shared" si="12"/>
        <v>25000</v>
      </c>
      <c r="K75" s="265"/>
      <c r="L75" s="265"/>
      <c r="M75" s="265"/>
      <c r="N75" s="997">
        <v>9000</v>
      </c>
      <c r="O75" s="265"/>
      <c r="P75" s="265"/>
      <c r="Q75" s="265"/>
      <c r="R75" s="265"/>
      <c r="S75" s="265"/>
      <c r="T75" s="265"/>
      <c r="U75" s="265"/>
      <c r="V75" s="265"/>
      <c r="W75" s="997">
        <f t="shared" si="15"/>
        <v>9000</v>
      </c>
      <c r="X75" s="989">
        <f t="shared" si="16"/>
        <v>0</v>
      </c>
      <c r="Y75" s="989">
        <f t="shared" ref="Y75:Y139" si="19">W75+X75</f>
        <v>9000</v>
      </c>
      <c r="Z75" s="989">
        <f t="shared" si="17"/>
        <v>16000</v>
      </c>
      <c r="AA75" s="1299">
        <f t="shared" si="18"/>
        <v>21000</v>
      </c>
    </row>
    <row r="76" spans="1:27" x14ac:dyDescent="0.25">
      <c r="A76" s="173" t="s">
        <v>253</v>
      </c>
      <c r="B76" s="116" t="s">
        <v>93</v>
      </c>
      <c r="C76" s="52"/>
      <c r="D76" s="720"/>
      <c r="E76" s="720"/>
      <c r="F76" s="720"/>
      <c r="G76" s="225">
        <f t="shared" si="13"/>
        <v>0</v>
      </c>
      <c r="H76" s="225">
        <f t="shared" si="14"/>
        <v>0</v>
      </c>
      <c r="I76" s="225">
        <f t="shared" si="11"/>
        <v>0</v>
      </c>
      <c r="J76" s="40">
        <f t="shared" si="12"/>
        <v>0</v>
      </c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997">
        <f t="shared" si="15"/>
        <v>0</v>
      </c>
      <c r="X76" s="989">
        <f t="shared" si="16"/>
        <v>0</v>
      </c>
      <c r="Y76" s="989">
        <f t="shared" si="19"/>
        <v>0</v>
      </c>
      <c r="Z76" s="989">
        <f t="shared" si="17"/>
        <v>0</v>
      </c>
      <c r="AA76" s="1299">
        <f t="shared" si="18"/>
        <v>0</v>
      </c>
    </row>
    <row r="77" spans="1:27" x14ac:dyDescent="0.25">
      <c r="A77" s="651" t="s">
        <v>938</v>
      </c>
      <c r="B77" s="116"/>
      <c r="C77" s="52">
        <v>10000</v>
      </c>
      <c r="D77" s="720"/>
      <c r="E77" s="720"/>
      <c r="F77" s="720"/>
      <c r="G77" s="225">
        <f t="shared" si="13"/>
        <v>10000</v>
      </c>
      <c r="H77" s="225">
        <f t="shared" si="14"/>
        <v>7500</v>
      </c>
      <c r="I77" s="225">
        <f t="shared" si="11"/>
        <v>833.33333333333337</v>
      </c>
      <c r="J77" s="40">
        <f t="shared" si="12"/>
        <v>8333.3333333333339</v>
      </c>
      <c r="K77" s="265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997">
        <f t="shared" si="15"/>
        <v>0</v>
      </c>
      <c r="X77" s="989">
        <f t="shared" si="16"/>
        <v>0</v>
      </c>
      <c r="Y77" s="989">
        <f t="shared" si="19"/>
        <v>0</v>
      </c>
      <c r="Z77" s="989">
        <f t="shared" si="17"/>
        <v>8333.3333333333339</v>
      </c>
      <c r="AA77" s="1299">
        <f t="shared" si="18"/>
        <v>10000</v>
      </c>
    </row>
    <row r="78" spans="1:27" x14ac:dyDescent="0.25">
      <c r="A78" s="975" t="s">
        <v>940</v>
      </c>
      <c r="B78" s="116"/>
      <c r="C78" s="203"/>
      <c r="D78" s="203"/>
      <c r="E78" s="203"/>
      <c r="F78" s="203"/>
      <c r="G78" s="225">
        <f t="shared" si="13"/>
        <v>0</v>
      </c>
      <c r="H78" s="225">
        <f t="shared" si="14"/>
        <v>0</v>
      </c>
      <c r="I78" s="225">
        <f t="shared" si="11"/>
        <v>0</v>
      </c>
      <c r="J78" s="40">
        <f t="shared" si="12"/>
        <v>0</v>
      </c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997">
        <f t="shared" si="15"/>
        <v>0</v>
      </c>
      <c r="X78" s="989">
        <f t="shared" si="16"/>
        <v>0</v>
      </c>
      <c r="Y78" s="989">
        <f t="shared" si="19"/>
        <v>0</v>
      </c>
      <c r="Z78" s="989">
        <f t="shared" si="17"/>
        <v>0</v>
      </c>
      <c r="AA78" s="1299">
        <f t="shared" si="18"/>
        <v>0</v>
      </c>
    </row>
    <row r="79" spans="1:27" x14ac:dyDescent="0.25">
      <c r="A79" s="61" t="s">
        <v>915</v>
      </c>
      <c r="B79" s="116" t="s">
        <v>150</v>
      </c>
      <c r="C79" s="52"/>
      <c r="D79" s="720"/>
      <c r="E79" s="720"/>
      <c r="F79" s="720"/>
      <c r="G79" s="225">
        <f t="shared" si="13"/>
        <v>0</v>
      </c>
      <c r="H79" s="225">
        <f t="shared" si="14"/>
        <v>0</v>
      </c>
      <c r="I79" s="225">
        <f t="shared" si="11"/>
        <v>0</v>
      </c>
      <c r="J79" s="40">
        <f t="shared" si="12"/>
        <v>0</v>
      </c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997">
        <f t="shared" si="15"/>
        <v>0</v>
      </c>
      <c r="X79" s="989">
        <f t="shared" si="16"/>
        <v>0</v>
      </c>
      <c r="Y79" s="989">
        <f t="shared" si="19"/>
        <v>0</v>
      </c>
      <c r="Z79" s="989">
        <f t="shared" si="17"/>
        <v>0</v>
      </c>
      <c r="AA79" s="1299">
        <f t="shared" si="18"/>
        <v>0</v>
      </c>
    </row>
    <row r="80" spans="1:27" x14ac:dyDescent="0.25">
      <c r="A80" s="651" t="s">
        <v>941</v>
      </c>
      <c r="B80" s="116"/>
      <c r="C80" s="52">
        <v>15000</v>
      </c>
      <c r="D80" s="720"/>
      <c r="E80" s="720"/>
      <c r="F80" s="720"/>
      <c r="G80" s="225">
        <f t="shared" si="13"/>
        <v>15000</v>
      </c>
      <c r="H80" s="225">
        <f t="shared" si="14"/>
        <v>11250</v>
      </c>
      <c r="I80" s="225">
        <f t="shared" si="11"/>
        <v>1250</v>
      </c>
      <c r="J80" s="40">
        <f t="shared" si="12"/>
        <v>12500</v>
      </c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5"/>
      <c r="W80" s="997">
        <f t="shared" si="15"/>
        <v>0</v>
      </c>
      <c r="X80" s="989">
        <f t="shared" si="16"/>
        <v>0</v>
      </c>
      <c r="Y80" s="989">
        <f t="shared" si="19"/>
        <v>0</v>
      </c>
      <c r="Z80" s="989">
        <f t="shared" si="17"/>
        <v>12500</v>
      </c>
      <c r="AA80" s="1299">
        <f t="shared" si="18"/>
        <v>15000</v>
      </c>
    </row>
    <row r="81" spans="1:27" x14ac:dyDescent="0.25">
      <c r="A81" s="61" t="s">
        <v>583</v>
      </c>
      <c r="B81" s="116" t="s">
        <v>600</v>
      </c>
      <c r="C81" s="52">
        <v>30000</v>
      </c>
      <c r="D81" s="720"/>
      <c r="E81" s="720"/>
      <c r="F81" s="720"/>
      <c r="G81" s="225">
        <f t="shared" si="13"/>
        <v>30000</v>
      </c>
      <c r="H81" s="225">
        <f t="shared" si="14"/>
        <v>22500</v>
      </c>
      <c r="I81" s="225">
        <f t="shared" si="11"/>
        <v>2500</v>
      </c>
      <c r="J81" s="40">
        <f t="shared" si="12"/>
        <v>25000</v>
      </c>
      <c r="K81" s="265"/>
      <c r="L81" s="265"/>
      <c r="M81" s="265"/>
      <c r="N81" s="265"/>
      <c r="O81" s="265"/>
      <c r="P81" s="265"/>
      <c r="Q81" s="265"/>
      <c r="R81" s="265"/>
      <c r="S81" s="265"/>
      <c r="T81" s="265">
        <v>12000</v>
      </c>
      <c r="U81" s="265"/>
      <c r="V81" s="265"/>
      <c r="W81" s="997">
        <f t="shared" si="15"/>
        <v>0</v>
      </c>
      <c r="X81" s="989">
        <f t="shared" si="16"/>
        <v>12000</v>
      </c>
      <c r="Y81" s="989">
        <f t="shared" si="19"/>
        <v>12000</v>
      </c>
      <c r="Z81" s="989">
        <f t="shared" si="17"/>
        <v>13000</v>
      </c>
      <c r="AA81" s="1299">
        <f t="shared" si="18"/>
        <v>18000</v>
      </c>
    </row>
    <row r="82" spans="1:27" x14ac:dyDescent="0.25">
      <c r="A82" s="61" t="s">
        <v>69</v>
      </c>
      <c r="B82" s="116" t="s">
        <v>70</v>
      </c>
      <c r="C82" s="52"/>
      <c r="D82" s="720"/>
      <c r="E82" s="720"/>
      <c r="F82" s="720"/>
      <c r="G82" s="225">
        <f t="shared" si="13"/>
        <v>0</v>
      </c>
      <c r="H82" s="225">
        <f t="shared" si="14"/>
        <v>0</v>
      </c>
      <c r="I82" s="225">
        <f t="shared" si="11"/>
        <v>0</v>
      </c>
      <c r="J82" s="40">
        <f t="shared" si="12"/>
        <v>0</v>
      </c>
      <c r="K82" s="265"/>
      <c r="L82" s="265"/>
      <c r="M82" s="265"/>
      <c r="N82" s="265"/>
      <c r="O82" s="265"/>
      <c r="P82" s="265"/>
      <c r="Q82" s="265"/>
      <c r="R82" s="265"/>
      <c r="S82" s="265"/>
      <c r="T82" s="265"/>
      <c r="U82" s="265"/>
      <c r="V82" s="265"/>
      <c r="W82" s="997">
        <f t="shared" si="15"/>
        <v>0</v>
      </c>
      <c r="X82" s="989">
        <f t="shared" si="16"/>
        <v>0</v>
      </c>
      <c r="Y82" s="989">
        <f t="shared" si="19"/>
        <v>0</v>
      </c>
      <c r="Z82" s="989">
        <f t="shared" si="17"/>
        <v>0</v>
      </c>
      <c r="AA82" s="1299">
        <f t="shared" si="18"/>
        <v>0</v>
      </c>
    </row>
    <row r="83" spans="1:27" x14ac:dyDescent="0.25">
      <c r="A83" s="651" t="s">
        <v>942</v>
      </c>
      <c r="B83" s="116"/>
      <c r="C83" s="52">
        <v>10000</v>
      </c>
      <c r="D83" s="720"/>
      <c r="E83" s="720"/>
      <c r="F83" s="720"/>
      <c r="G83" s="225">
        <f t="shared" si="13"/>
        <v>10000</v>
      </c>
      <c r="H83" s="225">
        <f t="shared" si="14"/>
        <v>7500</v>
      </c>
      <c r="I83" s="225">
        <f t="shared" si="11"/>
        <v>833.33333333333337</v>
      </c>
      <c r="J83" s="40">
        <f t="shared" si="12"/>
        <v>8333.3333333333339</v>
      </c>
      <c r="K83" s="265"/>
      <c r="L83" s="265"/>
      <c r="M83" s="265"/>
      <c r="N83" s="265"/>
      <c r="O83" s="265"/>
      <c r="P83" s="265"/>
      <c r="Q83" s="265"/>
      <c r="R83" s="265"/>
      <c r="S83" s="265"/>
      <c r="T83" s="265"/>
      <c r="U83" s="265"/>
      <c r="V83" s="265"/>
      <c r="W83" s="997">
        <f t="shared" si="15"/>
        <v>0</v>
      </c>
      <c r="X83" s="989">
        <f t="shared" si="16"/>
        <v>0</v>
      </c>
      <c r="Y83" s="989">
        <f t="shared" si="19"/>
        <v>0</v>
      </c>
      <c r="Z83" s="989">
        <f t="shared" si="17"/>
        <v>8333.3333333333339</v>
      </c>
      <c r="AA83" s="1299">
        <f t="shared" si="18"/>
        <v>10000</v>
      </c>
    </row>
    <row r="84" spans="1:27" x14ac:dyDescent="0.25">
      <c r="A84" s="61" t="s">
        <v>253</v>
      </c>
      <c r="B84" s="116" t="s">
        <v>93</v>
      </c>
      <c r="C84" s="52">
        <v>25000</v>
      </c>
      <c r="D84" s="720"/>
      <c r="E84" s="720"/>
      <c r="F84" s="720"/>
      <c r="G84" s="225">
        <f t="shared" si="13"/>
        <v>25000</v>
      </c>
      <c r="H84" s="225">
        <f t="shared" si="14"/>
        <v>18750</v>
      </c>
      <c r="I84" s="225">
        <f t="shared" si="11"/>
        <v>2083.3333333333335</v>
      </c>
      <c r="J84" s="40">
        <f t="shared" si="12"/>
        <v>20833.333333333332</v>
      </c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997">
        <f t="shared" si="15"/>
        <v>0</v>
      </c>
      <c r="X84" s="989">
        <f t="shared" si="16"/>
        <v>0</v>
      </c>
      <c r="Y84" s="989">
        <f t="shared" si="19"/>
        <v>0</v>
      </c>
      <c r="Z84" s="989">
        <f t="shared" si="17"/>
        <v>20833.333333333332</v>
      </c>
      <c r="AA84" s="1299">
        <f t="shared" si="18"/>
        <v>25000</v>
      </c>
    </row>
    <row r="85" spans="1:27" x14ac:dyDescent="0.25">
      <c r="A85" s="977" t="s">
        <v>943</v>
      </c>
      <c r="B85" s="654"/>
      <c r="C85" s="656"/>
      <c r="D85" s="656"/>
      <c r="E85" s="656"/>
      <c r="F85" s="656"/>
      <c r="G85" s="225">
        <f t="shared" si="13"/>
        <v>0</v>
      </c>
      <c r="H85" s="225">
        <f t="shared" si="14"/>
        <v>0</v>
      </c>
      <c r="I85" s="225">
        <f t="shared" si="11"/>
        <v>0</v>
      </c>
      <c r="J85" s="40">
        <f t="shared" si="12"/>
        <v>0</v>
      </c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997">
        <f t="shared" si="15"/>
        <v>0</v>
      </c>
      <c r="X85" s="989">
        <f t="shared" si="16"/>
        <v>0</v>
      </c>
      <c r="Y85" s="989">
        <f t="shared" si="19"/>
        <v>0</v>
      </c>
      <c r="Z85" s="989">
        <f t="shared" si="17"/>
        <v>0</v>
      </c>
      <c r="AA85" s="1299">
        <f t="shared" si="18"/>
        <v>0</v>
      </c>
    </row>
    <row r="86" spans="1:27" x14ac:dyDescent="0.25">
      <c r="A86" s="173" t="s">
        <v>274</v>
      </c>
      <c r="B86" s="116" t="s">
        <v>104</v>
      </c>
      <c r="C86" s="656"/>
      <c r="D86" s="656"/>
      <c r="E86" s="656"/>
      <c r="F86" s="656"/>
      <c r="G86" s="225">
        <f t="shared" si="13"/>
        <v>0</v>
      </c>
      <c r="H86" s="225">
        <f t="shared" si="14"/>
        <v>0</v>
      </c>
      <c r="I86" s="225">
        <f t="shared" si="11"/>
        <v>0</v>
      </c>
      <c r="J86" s="40">
        <f t="shared" si="12"/>
        <v>0</v>
      </c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997">
        <f t="shared" si="15"/>
        <v>0</v>
      </c>
      <c r="X86" s="989">
        <f t="shared" si="16"/>
        <v>0</v>
      </c>
      <c r="Y86" s="989">
        <f t="shared" si="19"/>
        <v>0</v>
      </c>
      <c r="Z86" s="989">
        <f t="shared" si="17"/>
        <v>0</v>
      </c>
      <c r="AA86" s="1299">
        <f t="shared" si="18"/>
        <v>0</v>
      </c>
    </row>
    <row r="87" spans="1:27" x14ac:dyDescent="0.25">
      <c r="A87" s="623" t="s">
        <v>944</v>
      </c>
      <c r="B87" s="116"/>
      <c r="C87" s="225">
        <v>10000</v>
      </c>
      <c r="D87" s="225"/>
      <c r="E87" s="225"/>
      <c r="F87" s="225"/>
      <c r="G87" s="225">
        <f t="shared" si="13"/>
        <v>10000</v>
      </c>
      <c r="H87" s="225">
        <f t="shared" si="14"/>
        <v>7500</v>
      </c>
      <c r="I87" s="225">
        <f t="shared" si="11"/>
        <v>833.33333333333337</v>
      </c>
      <c r="J87" s="40">
        <f t="shared" si="12"/>
        <v>8333.3333333333339</v>
      </c>
      <c r="K87" s="265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65"/>
      <c r="W87" s="997">
        <f t="shared" si="15"/>
        <v>0</v>
      </c>
      <c r="X87" s="989">
        <f t="shared" si="16"/>
        <v>0</v>
      </c>
      <c r="Y87" s="989">
        <f t="shared" si="19"/>
        <v>0</v>
      </c>
      <c r="Z87" s="989">
        <f t="shared" si="17"/>
        <v>8333.3333333333339</v>
      </c>
      <c r="AA87" s="1299">
        <f t="shared" si="18"/>
        <v>10000</v>
      </c>
    </row>
    <row r="88" spans="1:27" x14ac:dyDescent="0.25">
      <c r="A88" s="173" t="s">
        <v>69</v>
      </c>
      <c r="B88" s="116" t="s">
        <v>70</v>
      </c>
      <c r="C88" s="225"/>
      <c r="D88" s="225"/>
      <c r="E88" s="225"/>
      <c r="F88" s="225"/>
      <c r="G88" s="225">
        <f t="shared" si="13"/>
        <v>0</v>
      </c>
      <c r="H88" s="225">
        <f t="shared" si="14"/>
        <v>0</v>
      </c>
      <c r="I88" s="225">
        <f t="shared" si="11"/>
        <v>0</v>
      </c>
      <c r="J88" s="40">
        <f t="shared" si="12"/>
        <v>0</v>
      </c>
      <c r="K88" s="265"/>
      <c r="L88" s="265"/>
      <c r="M88" s="265"/>
      <c r="N88" s="265"/>
      <c r="O88" s="265"/>
      <c r="P88" s="265"/>
      <c r="Q88" s="265"/>
      <c r="R88" s="265"/>
      <c r="S88" s="265"/>
      <c r="T88" s="265"/>
      <c r="U88" s="265"/>
      <c r="V88" s="265"/>
      <c r="W88" s="997">
        <f t="shared" si="15"/>
        <v>0</v>
      </c>
      <c r="X88" s="989">
        <f t="shared" si="16"/>
        <v>0</v>
      </c>
      <c r="Y88" s="989">
        <f t="shared" si="19"/>
        <v>0</v>
      </c>
      <c r="Z88" s="989">
        <f t="shared" si="17"/>
        <v>0</v>
      </c>
      <c r="AA88" s="1299">
        <f t="shared" si="18"/>
        <v>0</v>
      </c>
    </row>
    <row r="89" spans="1:27" x14ac:dyDescent="0.25">
      <c r="A89" s="623" t="s">
        <v>287</v>
      </c>
      <c r="B89" s="116"/>
      <c r="C89" s="225">
        <v>60000</v>
      </c>
      <c r="D89" s="225"/>
      <c r="E89" s="225"/>
      <c r="F89" s="225"/>
      <c r="G89" s="225">
        <f t="shared" si="13"/>
        <v>60000</v>
      </c>
      <c r="H89" s="225">
        <f t="shared" si="14"/>
        <v>45000</v>
      </c>
      <c r="I89" s="225">
        <f t="shared" si="11"/>
        <v>5000</v>
      </c>
      <c r="J89" s="40">
        <f t="shared" si="12"/>
        <v>50000</v>
      </c>
      <c r="K89" s="265"/>
      <c r="L89" s="265">
        <v>5000</v>
      </c>
      <c r="M89" s="265">
        <v>5000</v>
      </c>
      <c r="N89" s="265">
        <v>5000</v>
      </c>
      <c r="O89" s="265">
        <v>5000</v>
      </c>
      <c r="P89" s="265">
        <v>5000</v>
      </c>
      <c r="Q89" s="265">
        <v>5000</v>
      </c>
      <c r="R89" s="265">
        <v>5000</v>
      </c>
      <c r="S89" s="265">
        <v>5000</v>
      </c>
      <c r="T89" s="265">
        <v>5000</v>
      </c>
      <c r="U89" s="265"/>
      <c r="V89" s="265"/>
      <c r="W89" s="997">
        <f t="shared" si="15"/>
        <v>40000</v>
      </c>
      <c r="X89" s="989">
        <f t="shared" si="16"/>
        <v>5000</v>
      </c>
      <c r="Y89" s="989">
        <f t="shared" si="19"/>
        <v>45000</v>
      </c>
      <c r="Z89" s="989">
        <f t="shared" si="17"/>
        <v>5000</v>
      </c>
      <c r="AA89" s="1299">
        <f t="shared" si="18"/>
        <v>15000</v>
      </c>
    </row>
    <row r="90" spans="1:27" x14ac:dyDescent="0.25">
      <c r="A90" s="623" t="s">
        <v>945</v>
      </c>
      <c r="B90" s="116"/>
      <c r="C90" s="225">
        <v>180000</v>
      </c>
      <c r="D90" s="225"/>
      <c r="E90" s="225"/>
      <c r="F90" s="225"/>
      <c r="G90" s="225">
        <f t="shared" si="13"/>
        <v>180000</v>
      </c>
      <c r="H90" s="225">
        <f t="shared" si="14"/>
        <v>135000</v>
      </c>
      <c r="I90" s="225">
        <f t="shared" si="11"/>
        <v>15000</v>
      </c>
      <c r="J90" s="40">
        <f t="shared" si="12"/>
        <v>150000</v>
      </c>
      <c r="K90" s="265"/>
      <c r="L90" s="265">
        <v>10000</v>
      </c>
      <c r="M90" s="265">
        <v>10000</v>
      </c>
      <c r="N90" s="265">
        <v>10000</v>
      </c>
      <c r="O90" s="265">
        <v>10000</v>
      </c>
      <c r="P90" s="265">
        <v>10000</v>
      </c>
      <c r="Q90" s="265">
        <v>10000</v>
      </c>
      <c r="R90" s="265">
        <v>10000</v>
      </c>
      <c r="S90" s="265">
        <f>10000</f>
        <v>10000</v>
      </c>
      <c r="T90" s="265">
        <v>10000</v>
      </c>
      <c r="U90" s="265"/>
      <c r="V90" s="265"/>
      <c r="W90" s="997">
        <f t="shared" si="15"/>
        <v>80000</v>
      </c>
      <c r="X90" s="989">
        <f t="shared" si="16"/>
        <v>10000</v>
      </c>
      <c r="Y90" s="989">
        <f t="shared" si="19"/>
        <v>90000</v>
      </c>
      <c r="Z90" s="989">
        <f t="shared" si="17"/>
        <v>60000</v>
      </c>
      <c r="AA90" s="1299">
        <f t="shared" si="18"/>
        <v>90000</v>
      </c>
    </row>
    <row r="91" spans="1:27" x14ac:dyDescent="0.25">
      <c r="A91" s="623" t="s">
        <v>946</v>
      </c>
      <c r="B91" s="116"/>
      <c r="C91" s="225">
        <v>60000</v>
      </c>
      <c r="D91" s="225"/>
      <c r="E91" s="225"/>
      <c r="F91" s="225"/>
      <c r="G91" s="225">
        <f t="shared" si="13"/>
        <v>60000</v>
      </c>
      <c r="H91" s="225">
        <f t="shared" si="14"/>
        <v>45000</v>
      </c>
      <c r="I91" s="225">
        <f t="shared" si="11"/>
        <v>5000</v>
      </c>
      <c r="J91" s="40">
        <f t="shared" si="12"/>
        <v>50000</v>
      </c>
      <c r="K91" s="265"/>
      <c r="L91" s="265">
        <v>5000</v>
      </c>
      <c r="M91" s="265">
        <v>5000</v>
      </c>
      <c r="N91" s="265">
        <v>5000</v>
      </c>
      <c r="O91" s="265">
        <v>5000</v>
      </c>
      <c r="P91" s="265">
        <v>5000</v>
      </c>
      <c r="Q91" s="265">
        <v>5000</v>
      </c>
      <c r="R91" s="265">
        <v>5000</v>
      </c>
      <c r="S91" s="265">
        <v>5000</v>
      </c>
      <c r="T91" s="265">
        <v>5000</v>
      </c>
      <c r="U91" s="265"/>
      <c r="V91" s="265"/>
      <c r="W91" s="997">
        <f t="shared" si="15"/>
        <v>40000</v>
      </c>
      <c r="X91" s="989">
        <f t="shared" si="16"/>
        <v>5000</v>
      </c>
      <c r="Y91" s="989">
        <f t="shared" si="19"/>
        <v>45000</v>
      </c>
      <c r="Z91" s="989">
        <f t="shared" si="17"/>
        <v>5000</v>
      </c>
      <c r="AA91" s="1299">
        <f t="shared" si="18"/>
        <v>15000</v>
      </c>
    </row>
    <row r="92" spans="1:27" x14ac:dyDescent="0.25">
      <c r="A92" s="1108" t="s">
        <v>288</v>
      </c>
      <c r="B92" s="116"/>
      <c r="C92" s="203"/>
      <c r="D92" s="203"/>
      <c r="E92" s="203"/>
      <c r="F92" s="203"/>
      <c r="G92" s="225">
        <f t="shared" si="13"/>
        <v>0</v>
      </c>
      <c r="H92" s="225">
        <f t="shared" si="14"/>
        <v>0</v>
      </c>
      <c r="I92" s="225">
        <f t="shared" si="11"/>
        <v>0</v>
      </c>
      <c r="J92" s="40">
        <f t="shared" si="12"/>
        <v>0</v>
      </c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997">
        <f t="shared" si="15"/>
        <v>0</v>
      </c>
      <c r="X92" s="989">
        <f t="shared" si="16"/>
        <v>0</v>
      </c>
      <c r="Y92" s="989">
        <f t="shared" si="19"/>
        <v>0</v>
      </c>
      <c r="Z92" s="989">
        <f t="shared" si="17"/>
        <v>0</v>
      </c>
      <c r="AA92" s="1299">
        <f t="shared" si="18"/>
        <v>0</v>
      </c>
    </row>
    <row r="93" spans="1:27" x14ac:dyDescent="0.25">
      <c r="A93" s="173" t="s">
        <v>50</v>
      </c>
      <c r="B93" s="116" t="s">
        <v>51</v>
      </c>
      <c r="C93" s="203">
        <v>50000</v>
      </c>
      <c r="D93" s="203"/>
      <c r="E93" s="203"/>
      <c r="F93" s="203"/>
      <c r="G93" s="225">
        <f t="shared" si="13"/>
        <v>50000</v>
      </c>
      <c r="H93" s="225">
        <f t="shared" si="14"/>
        <v>37500</v>
      </c>
      <c r="I93" s="225">
        <f t="shared" si="11"/>
        <v>4166.666666666667</v>
      </c>
      <c r="J93" s="40">
        <f t="shared" si="12"/>
        <v>41666.666666666664</v>
      </c>
      <c r="K93" s="265"/>
      <c r="L93" s="265"/>
      <c r="M93" s="265">
        <v>17450</v>
      </c>
      <c r="N93" s="265"/>
      <c r="O93" s="265"/>
      <c r="P93" s="265"/>
      <c r="Q93" s="265">
        <v>13334</v>
      </c>
      <c r="R93" s="265"/>
      <c r="S93" s="265"/>
      <c r="T93" s="265"/>
      <c r="U93" s="265"/>
      <c r="V93" s="265"/>
      <c r="W93" s="997">
        <f t="shared" si="15"/>
        <v>30784</v>
      </c>
      <c r="X93" s="989">
        <f t="shared" si="16"/>
        <v>0</v>
      </c>
      <c r="Y93" s="989">
        <f t="shared" si="19"/>
        <v>30784</v>
      </c>
      <c r="Z93" s="989">
        <f t="shared" si="17"/>
        <v>10882.666666666664</v>
      </c>
      <c r="AA93" s="1299">
        <f t="shared" si="18"/>
        <v>19216</v>
      </c>
    </row>
    <row r="94" spans="1:27" x14ac:dyDescent="0.25">
      <c r="A94" s="173" t="s">
        <v>55</v>
      </c>
      <c r="B94" s="116" t="s">
        <v>56</v>
      </c>
      <c r="C94" s="203">
        <v>80000</v>
      </c>
      <c r="D94" s="203"/>
      <c r="E94" s="203"/>
      <c r="F94" s="203"/>
      <c r="G94" s="225">
        <f t="shared" si="13"/>
        <v>80000</v>
      </c>
      <c r="H94" s="225">
        <f t="shared" si="14"/>
        <v>60000</v>
      </c>
      <c r="I94" s="225">
        <f t="shared" si="11"/>
        <v>6666.666666666667</v>
      </c>
      <c r="J94" s="40">
        <f t="shared" si="12"/>
        <v>66666.666666666672</v>
      </c>
      <c r="K94" s="265"/>
      <c r="L94" s="265"/>
      <c r="M94" s="265">
        <v>6720</v>
      </c>
      <c r="N94" s="265">
        <v>8960</v>
      </c>
      <c r="O94" s="265">
        <v>11200</v>
      </c>
      <c r="P94" s="265">
        <v>8960</v>
      </c>
      <c r="Q94" s="265"/>
      <c r="R94" s="265">
        <v>11200</v>
      </c>
      <c r="S94" s="265">
        <v>29120</v>
      </c>
      <c r="T94" s="265"/>
      <c r="U94" s="265"/>
      <c r="V94" s="265"/>
      <c r="W94" s="997">
        <f t="shared" si="15"/>
        <v>76160</v>
      </c>
      <c r="X94" s="989">
        <f t="shared" si="16"/>
        <v>0</v>
      </c>
      <c r="Y94" s="989">
        <f t="shared" si="19"/>
        <v>76160</v>
      </c>
      <c r="Z94" s="989">
        <f t="shared" si="17"/>
        <v>-9493.3333333333285</v>
      </c>
      <c r="AA94" s="1299">
        <f t="shared" si="18"/>
        <v>3840</v>
      </c>
    </row>
    <row r="95" spans="1:27" ht="26.25" x14ac:dyDescent="0.25">
      <c r="A95" s="620" t="s">
        <v>1237</v>
      </c>
      <c r="B95" s="116" t="s">
        <v>79</v>
      </c>
      <c r="C95" s="203">
        <v>10000</v>
      </c>
      <c r="D95" s="203"/>
      <c r="E95" s="203"/>
      <c r="F95" s="203">
        <v>200000</v>
      </c>
      <c r="G95" s="225">
        <f t="shared" si="13"/>
        <v>210000</v>
      </c>
      <c r="H95" s="225">
        <f t="shared" si="14"/>
        <v>157500</v>
      </c>
      <c r="I95" s="225">
        <f t="shared" si="11"/>
        <v>17500</v>
      </c>
      <c r="J95" s="40">
        <f t="shared" si="12"/>
        <v>175000</v>
      </c>
      <c r="K95" s="265"/>
      <c r="L95" s="265"/>
      <c r="M95" s="265"/>
      <c r="N95" s="265">
        <v>10000</v>
      </c>
      <c r="O95" s="265"/>
      <c r="P95" s="265"/>
      <c r="Q95" s="265">
        <v>154000</v>
      </c>
      <c r="R95" s="265">
        <v>27500</v>
      </c>
      <c r="S95" s="265"/>
      <c r="T95" s="265"/>
      <c r="U95" s="265"/>
      <c r="V95" s="265"/>
      <c r="W95" s="997">
        <f t="shared" si="15"/>
        <v>191500</v>
      </c>
      <c r="X95" s="989">
        <f t="shared" si="16"/>
        <v>0</v>
      </c>
      <c r="Y95" s="989">
        <f t="shared" si="19"/>
        <v>191500</v>
      </c>
      <c r="Z95" s="989">
        <f t="shared" si="17"/>
        <v>-16500</v>
      </c>
      <c r="AA95" s="1299">
        <f t="shared" si="18"/>
        <v>18500</v>
      </c>
    </row>
    <row r="96" spans="1:27" x14ac:dyDescent="0.25">
      <c r="A96" s="173" t="s">
        <v>155</v>
      </c>
      <c r="B96" s="116" t="s">
        <v>106</v>
      </c>
      <c r="C96" s="203">
        <v>10000</v>
      </c>
      <c r="D96" s="203"/>
      <c r="E96" s="203"/>
      <c r="F96" s="203"/>
      <c r="G96" s="225">
        <f t="shared" si="13"/>
        <v>10000</v>
      </c>
      <c r="H96" s="225">
        <f t="shared" si="14"/>
        <v>7500</v>
      </c>
      <c r="I96" s="225">
        <f t="shared" si="11"/>
        <v>833.33333333333337</v>
      </c>
      <c r="J96" s="40">
        <f t="shared" si="12"/>
        <v>8333.3333333333339</v>
      </c>
      <c r="K96" s="265"/>
      <c r="L96" s="265"/>
      <c r="M96" s="265"/>
      <c r="N96" s="265">
        <v>6700</v>
      </c>
      <c r="O96" s="265"/>
      <c r="P96" s="265"/>
      <c r="Q96" s="265"/>
      <c r="R96" s="265"/>
      <c r="S96" s="265"/>
      <c r="T96" s="265"/>
      <c r="U96" s="265"/>
      <c r="V96" s="265"/>
      <c r="W96" s="997">
        <f t="shared" si="15"/>
        <v>6700</v>
      </c>
      <c r="X96" s="989">
        <f t="shared" si="16"/>
        <v>0</v>
      </c>
      <c r="Y96" s="989">
        <f t="shared" si="19"/>
        <v>6700</v>
      </c>
      <c r="Z96" s="989">
        <f t="shared" si="17"/>
        <v>1633.3333333333339</v>
      </c>
      <c r="AA96" s="1299">
        <f t="shared" si="18"/>
        <v>3300</v>
      </c>
    </row>
    <row r="97" spans="1:27" x14ac:dyDescent="0.25">
      <c r="A97" s="975" t="s">
        <v>947</v>
      </c>
      <c r="B97" s="116"/>
      <c r="C97" s="203"/>
      <c r="D97" s="203"/>
      <c r="E97" s="203"/>
      <c r="F97" s="203"/>
      <c r="G97" s="225">
        <f t="shared" si="13"/>
        <v>0</v>
      </c>
      <c r="H97" s="225">
        <f t="shared" si="14"/>
        <v>0</v>
      </c>
      <c r="I97" s="225">
        <f t="shared" si="11"/>
        <v>0</v>
      </c>
      <c r="J97" s="40">
        <f t="shared" si="12"/>
        <v>0</v>
      </c>
      <c r="K97" s="265"/>
      <c r="L97" s="265"/>
      <c r="M97" s="265"/>
      <c r="N97" s="265"/>
      <c r="O97" s="265"/>
      <c r="P97" s="265"/>
      <c r="Q97" s="265"/>
      <c r="R97" s="265"/>
      <c r="S97" s="265"/>
      <c r="T97" s="265"/>
      <c r="U97" s="265"/>
      <c r="V97" s="265"/>
      <c r="W97" s="997">
        <f t="shared" si="15"/>
        <v>0</v>
      </c>
      <c r="X97" s="989">
        <f t="shared" si="16"/>
        <v>0</v>
      </c>
      <c r="Y97" s="989">
        <f t="shared" si="19"/>
        <v>0</v>
      </c>
      <c r="Z97" s="989">
        <f t="shared" si="17"/>
        <v>0</v>
      </c>
      <c r="AA97" s="1299">
        <f t="shared" si="18"/>
        <v>0</v>
      </c>
    </row>
    <row r="98" spans="1:27" x14ac:dyDescent="0.25">
      <c r="A98" s="518" t="s">
        <v>149</v>
      </c>
      <c r="B98" s="116" t="s">
        <v>51</v>
      </c>
      <c r="C98" s="203">
        <v>5000</v>
      </c>
      <c r="D98" s="203"/>
      <c r="E98" s="203"/>
      <c r="F98" s="203"/>
      <c r="G98" s="225">
        <f t="shared" si="13"/>
        <v>5000</v>
      </c>
      <c r="H98" s="225">
        <f t="shared" si="14"/>
        <v>3750</v>
      </c>
      <c r="I98" s="225">
        <f t="shared" si="11"/>
        <v>416.66666666666669</v>
      </c>
      <c r="J98" s="40">
        <f t="shared" si="12"/>
        <v>4166.666666666667</v>
      </c>
      <c r="K98" s="265"/>
      <c r="L98" s="265"/>
      <c r="M98" s="265"/>
      <c r="N98" s="265"/>
      <c r="O98" s="265"/>
      <c r="P98" s="265"/>
      <c r="Q98" s="265"/>
      <c r="R98" s="265"/>
      <c r="S98" s="265"/>
      <c r="T98" s="265"/>
      <c r="U98" s="265"/>
      <c r="V98" s="265"/>
      <c r="W98" s="997">
        <f t="shared" si="15"/>
        <v>0</v>
      </c>
      <c r="X98" s="989">
        <f t="shared" si="16"/>
        <v>0</v>
      </c>
      <c r="Y98" s="989">
        <f t="shared" si="19"/>
        <v>0</v>
      </c>
      <c r="Z98" s="989">
        <f t="shared" si="17"/>
        <v>4166.666666666667</v>
      </c>
      <c r="AA98" s="1299">
        <f t="shared" si="18"/>
        <v>5000</v>
      </c>
    </row>
    <row r="99" spans="1:27" x14ac:dyDescent="0.25">
      <c r="A99" s="518" t="s">
        <v>722</v>
      </c>
      <c r="B99" s="116" t="s">
        <v>87</v>
      </c>
      <c r="C99" s="203">
        <v>20000</v>
      </c>
      <c r="D99" s="203"/>
      <c r="E99" s="203"/>
      <c r="F99" s="203"/>
      <c r="G99" s="225">
        <f t="shared" si="13"/>
        <v>20000</v>
      </c>
      <c r="H99" s="225">
        <f t="shared" si="14"/>
        <v>15000</v>
      </c>
      <c r="I99" s="225">
        <f t="shared" si="11"/>
        <v>1666.6666666666667</v>
      </c>
      <c r="J99" s="40">
        <f t="shared" si="12"/>
        <v>16666.666666666668</v>
      </c>
      <c r="K99" s="265"/>
      <c r="L99" s="265"/>
      <c r="M99" s="265"/>
      <c r="N99" s="265"/>
      <c r="O99" s="265"/>
      <c r="P99" s="265"/>
      <c r="Q99" s="265"/>
      <c r="R99" s="265"/>
      <c r="S99" s="265"/>
      <c r="T99" s="265"/>
      <c r="U99" s="265"/>
      <c r="V99" s="265"/>
      <c r="W99" s="997">
        <f t="shared" si="15"/>
        <v>0</v>
      </c>
      <c r="X99" s="989">
        <f t="shared" si="16"/>
        <v>0</v>
      </c>
      <c r="Y99" s="989">
        <f t="shared" si="19"/>
        <v>0</v>
      </c>
      <c r="Z99" s="989">
        <f t="shared" si="17"/>
        <v>16666.666666666668</v>
      </c>
      <c r="AA99" s="1299">
        <f t="shared" si="18"/>
        <v>20000</v>
      </c>
    </row>
    <row r="100" spans="1:27" x14ac:dyDescent="0.25">
      <c r="A100" s="1265" t="s">
        <v>253</v>
      </c>
      <c r="B100" s="116" t="s">
        <v>93</v>
      </c>
      <c r="C100" s="203">
        <v>25000</v>
      </c>
      <c r="D100" s="203"/>
      <c r="E100" s="203"/>
      <c r="F100" s="203"/>
      <c r="G100" s="225">
        <f t="shared" si="13"/>
        <v>25000</v>
      </c>
      <c r="H100" s="225">
        <f t="shared" si="14"/>
        <v>18750</v>
      </c>
      <c r="I100" s="225">
        <f t="shared" si="11"/>
        <v>2083.3333333333335</v>
      </c>
      <c r="J100" s="40">
        <f t="shared" si="12"/>
        <v>20833.333333333332</v>
      </c>
      <c r="K100" s="265"/>
      <c r="L100" s="265"/>
      <c r="M100" s="265"/>
      <c r="N100" s="265"/>
      <c r="O100" s="265"/>
      <c r="P100" s="265"/>
      <c r="Q100" s="265"/>
      <c r="R100" s="265"/>
      <c r="S100" s="265"/>
      <c r="T100" s="265"/>
      <c r="U100" s="265"/>
      <c r="V100" s="265"/>
      <c r="W100" s="997">
        <f t="shared" si="15"/>
        <v>0</v>
      </c>
      <c r="X100" s="989">
        <f t="shared" si="16"/>
        <v>0</v>
      </c>
      <c r="Y100" s="989">
        <f t="shared" si="19"/>
        <v>0</v>
      </c>
      <c r="Z100" s="989">
        <f t="shared" si="17"/>
        <v>20833.333333333332</v>
      </c>
      <c r="AA100" s="1299">
        <f t="shared" si="18"/>
        <v>25000</v>
      </c>
    </row>
    <row r="101" spans="1:27" ht="26.25" x14ac:dyDescent="0.25">
      <c r="A101" s="254" t="s">
        <v>948</v>
      </c>
      <c r="B101" s="116"/>
      <c r="C101" s="203"/>
      <c r="D101" s="203"/>
      <c r="E101" s="203"/>
      <c r="F101" s="203"/>
      <c r="G101" s="225">
        <f t="shared" si="13"/>
        <v>0</v>
      </c>
      <c r="H101" s="225">
        <f t="shared" si="14"/>
        <v>0</v>
      </c>
      <c r="I101" s="225">
        <f t="shared" si="11"/>
        <v>0</v>
      </c>
      <c r="J101" s="40">
        <f t="shared" si="12"/>
        <v>0</v>
      </c>
      <c r="K101" s="265"/>
      <c r="L101" s="265"/>
      <c r="M101" s="265"/>
      <c r="N101" s="265"/>
      <c r="O101" s="265"/>
      <c r="P101" s="265"/>
      <c r="Q101" s="265"/>
      <c r="R101" s="265"/>
      <c r="S101" s="265"/>
      <c r="T101" s="265"/>
      <c r="U101" s="265"/>
      <c r="V101" s="265"/>
      <c r="W101" s="997">
        <f t="shared" si="15"/>
        <v>0</v>
      </c>
      <c r="X101" s="989">
        <f t="shared" si="16"/>
        <v>0</v>
      </c>
      <c r="Y101" s="989">
        <f t="shared" si="19"/>
        <v>0</v>
      </c>
      <c r="Z101" s="989">
        <f t="shared" si="17"/>
        <v>0</v>
      </c>
      <c r="AA101" s="1299">
        <f t="shared" si="18"/>
        <v>0</v>
      </c>
    </row>
    <row r="102" spans="1:27" ht="26.25" x14ac:dyDescent="0.25">
      <c r="A102" s="1266" t="s">
        <v>949</v>
      </c>
      <c r="B102" s="654"/>
      <c r="C102" s="203"/>
      <c r="D102" s="203"/>
      <c r="E102" s="203"/>
      <c r="F102" s="203"/>
      <c r="G102" s="225">
        <f t="shared" si="13"/>
        <v>0</v>
      </c>
      <c r="H102" s="225">
        <f t="shared" si="14"/>
        <v>0</v>
      </c>
      <c r="I102" s="225">
        <f t="shared" si="11"/>
        <v>0</v>
      </c>
      <c r="J102" s="40">
        <f t="shared" si="12"/>
        <v>0</v>
      </c>
      <c r="K102" s="265"/>
      <c r="L102" s="265"/>
      <c r="M102" s="265"/>
      <c r="N102" s="265"/>
      <c r="O102" s="265"/>
      <c r="P102" s="265"/>
      <c r="Q102" s="265"/>
      <c r="R102" s="265"/>
      <c r="S102" s="265"/>
      <c r="T102" s="265"/>
      <c r="U102" s="265"/>
      <c r="V102" s="265"/>
      <c r="W102" s="997">
        <f t="shared" si="15"/>
        <v>0</v>
      </c>
      <c r="X102" s="989">
        <f t="shared" si="16"/>
        <v>0</v>
      </c>
      <c r="Y102" s="990">
        <f t="shared" si="19"/>
        <v>0</v>
      </c>
      <c r="Z102" s="989">
        <f t="shared" si="17"/>
        <v>0</v>
      </c>
      <c r="AA102" s="1299">
        <f t="shared" si="18"/>
        <v>0</v>
      </c>
    </row>
    <row r="103" spans="1:27" x14ac:dyDescent="0.25">
      <c r="A103" s="1265" t="s">
        <v>139</v>
      </c>
      <c r="B103" s="116" t="s">
        <v>43</v>
      </c>
      <c r="C103" s="203">
        <v>60000</v>
      </c>
      <c r="D103" s="203"/>
      <c r="E103" s="203"/>
      <c r="F103" s="203"/>
      <c r="G103" s="225">
        <f t="shared" si="13"/>
        <v>60000</v>
      </c>
      <c r="H103" s="225">
        <f t="shared" si="14"/>
        <v>45000</v>
      </c>
      <c r="I103" s="225">
        <f t="shared" si="11"/>
        <v>5000</v>
      </c>
      <c r="J103" s="40">
        <f t="shared" si="12"/>
        <v>50000</v>
      </c>
      <c r="K103" s="265"/>
      <c r="L103" s="265"/>
      <c r="M103" s="265"/>
      <c r="N103" s="265"/>
      <c r="O103" s="265"/>
      <c r="P103" s="265">
        <v>3520</v>
      </c>
      <c r="Q103" s="265"/>
      <c r="R103" s="265"/>
      <c r="S103" s="265"/>
      <c r="T103" s="265"/>
      <c r="U103" s="265"/>
      <c r="V103" s="265"/>
      <c r="W103" s="997">
        <f t="shared" si="15"/>
        <v>3520</v>
      </c>
      <c r="X103" s="989">
        <f t="shared" si="16"/>
        <v>0</v>
      </c>
      <c r="Y103" s="990">
        <f t="shared" si="19"/>
        <v>3520</v>
      </c>
      <c r="Z103" s="989">
        <f t="shared" si="17"/>
        <v>46480</v>
      </c>
      <c r="AA103" s="1299">
        <f t="shared" si="18"/>
        <v>56480</v>
      </c>
    </row>
    <row r="104" spans="1:27" x14ac:dyDescent="0.25">
      <c r="A104" s="1265" t="s">
        <v>149</v>
      </c>
      <c r="B104" s="116" t="s">
        <v>51</v>
      </c>
      <c r="C104" s="203">
        <v>19000</v>
      </c>
      <c r="D104" s="203"/>
      <c r="E104" s="203"/>
      <c r="F104" s="203"/>
      <c r="G104" s="225">
        <f t="shared" si="13"/>
        <v>19000</v>
      </c>
      <c r="H104" s="225">
        <f t="shared" si="14"/>
        <v>14250</v>
      </c>
      <c r="I104" s="225">
        <f t="shared" si="11"/>
        <v>1583.3333333333333</v>
      </c>
      <c r="J104" s="40">
        <f t="shared" si="12"/>
        <v>15833.333333333334</v>
      </c>
      <c r="K104" s="265"/>
      <c r="L104" s="265"/>
      <c r="M104" s="265"/>
      <c r="N104" s="265"/>
      <c r="O104" s="265"/>
      <c r="P104" s="265"/>
      <c r="Q104" s="265"/>
      <c r="R104" s="265"/>
      <c r="S104" s="265"/>
      <c r="T104" s="265"/>
      <c r="U104" s="265"/>
      <c r="V104" s="265"/>
      <c r="W104" s="997">
        <f t="shared" si="15"/>
        <v>0</v>
      </c>
      <c r="X104" s="989">
        <f t="shared" si="16"/>
        <v>0</v>
      </c>
      <c r="Y104" s="990">
        <f t="shared" si="19"/>
        <v>0</v>
      </c>
      <c r="Z104" s="989">
        <f t="shared" si="17"/>
        <v>15833.333333333334</v>
      </c>
      <c r="AA104" s="1299">
        <f t="shared" si="18"/>
        <v>19000</v>
      </c>
    </row>
    <row r="105" spans="1:27" x14ac:dyDescent="0.25">
      <c r="A105" s="1265" t="s">
        <v>915</v>
      </c>
      <c r="B105" s="116" t="s">
        <v>56</v>
      </c>
      <c r="C105" s="203">
        <v>45960</v>
      </c>
      <c r="D105" s="203"/>
      <c r="E105" s="203"/>
      <c r="F105" s="203"/>
      <c r="G105" s="225">
        <f t="shared" si="13"/>
        <v>45960</v>
      </c>
      <c r="H105" s="225">
        <f t="shared" si="14"/>
        <v>34470</v>
      </c>
      <c r="I105" s="225">
        <f t="shared" si="11"/>
        <v>3830</v>
      </c>
      <c r="J105" s="40">
        <f t="shared" si="12"/>
        <v>38300</v>
      </c>
      <c r="K105" s="265"/>
      <c r="L105" s="265"/>
      <c r="M105" s="265"/>
      <c r="N105" s="265"/>
      <c r="O105" s="265"/>
      <c r="P105" s="265"/>
      <c r="Q105" s="265"/>
      <c r="R105" s="265"/>
      <c r="S105" s="265"/>
      <c r="T105" s="265"/>
      <c r="U105" s="265"/>
      <c r="V105" s="265"/>
      <c r="W105" s="997">
        <f t="shared" si="15"/>
        <v>0</v>
      </c>
      <c r="X105" s="989">
        <f t="shared" si="16"/>
        <v>0</v>
      </c>
      <c r="Y105" s="990">
        <f t="shared" si="19"/>
        <v>0</v>
      </c>
      <c r="Z105" s="989">
        <f t="shared" si="17"/>
        <v>38300</v>
      </c>
      <c r="AA105" s="1299">
        <f t="shared" si="18"/>
        <v>45960</v>
      </c>
    </row>
    <row r="106" spans="1:27" x14ac:dyDescent="0.25">
      <c r="A106" s="1265" t="s">
        <v>232</v>
      </c>
      <c r="B106" s="116" t="s">
        <v>64</v>
      </c>
      <c r="C106" s="203">
        <v>30000</v>
      </c>
      <c r="D106" s="203"/>
      <c r="E106" s="203"/>
      <c r="F106" s="203"/>
      <c r="G106" s="225">
        <f t="shared" si="13"/>
        <v>30000</v>
      </c>
      <c r="H106" s="225">
        <f t="shared" si="14"/>
        <v>22500</v>
      </c>
      <c r="I106" s="225">
        <f t="shared" si="11"/>
        <v>2500</v>
      </c>
      <c r="J106" s="40">
        <f t="shared" si="12"/>
        <v>25000</v>
      </c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997">
        <f t="shared" si="15"/>
        <v>0</v>
      </c>
      <c r="X106" s="989">
        <f t="shared" si="16"/>
        <v>0</v>
      </c>
      <c r="Y106" s="990">
        <f t="shared" si="19"/>
        <v>0</v>
      </c>
      <c r="Z106" s="989">
        <f t="shared" si="17"/>
        <v>25000</v>
      </c>
      <c r="AA106" s="1299">
        <f t="shared" si="18"/>
        <v>30000</v>
      </c>
    </row>
    <row r="107" spans="1:27" x14ac:dyDescent="0.25">
      <c r="A107" s="1265" t="s">
        <v>69</v>
      </c>
      <c r="B107" s="116" t="s">
        <v>70</v>
      </c>
      <c r="C107" s="203">
        <f>16000+6000</f>
        <v>22000</v>
      </c>
      <c r="D107" s="203"/>
      <c r="E107" s="203"/>
      <c r="F107" s="203"/>
      <c r="G107" s="225">
        <f t="shared" si="13"/>
        <v>22000</v>
      </c>
      <c r="H107" s="225">
        <f t="shared" si="14"/>
        <v>16500</v>
      </c>
      <c r="I107" s="225">
        <f t="shared" si="11"/>
        <v>1833.3333333333333</v>
      </c>
      <c r="J107" s="40">
        <f t="shared" si="12"/>
        <v>18333.333333333332</v>
      </c>
      <c r="K107" s="265"/>
      <c r="L107" s="265"/>
      <c r="M107" s="265"/>
      <c r="N107" s="265"/>
      <c r="O107" s="265"/>
      <c r="P107" s="265"/>
      <c r="Q107" s="265"/>
      <c r="R107" s="265"/>
      <c r="S107" s="265"/>
      <c r="T107" s="265"/>
      <c r="U107" s="265"/>
      <c r="V107" s="265"/>
      <c r="W107" s="997">
        <f t="shared" si="15"/>
        <v>0</v>
      </c>
      <c r="X107" s="989">
        <f t="shared" si="16"/>
        <v>0</v>
      </c>
      <c r="Y107" s="990">
        <f t="shared" si="19"/>
        <v>0</v>
      </c>
      <c r="Z107" s="989">
        <f t="shared" si="17"/>
        <v>18333.333333333332</v>
      </c>
      <c r="AA107" s="1299">
        <f t="shared" si="18"/>
        <v>22000</v>
      </c>
    </row>
    <row r="108" spans="1:27" x14ac:dyDescent="0.25">
      <c r="A108" s="1265" t="s">
        <v>84</v>
      </c>
      <c r="B108" s="116" t="s">
        <v>85</v>
      </c>
      <c r="C108" s="203">
        <v>100000</v>
      </c>
      <c r="D108" s="203"/>
      <c r="E108" s="203"/>
      <c r="F108" s="203"/>
      <c r="G108" s="225">
        <f t="shared" si="13"/>
        <v>100000</v>
      </c>
      <c r="H108" s="225">
        <f t="shared" si="14"/>
        <v>75000</v>
      </c>
      <c r="I108" s="225">
        <f t="shared" si="11"/>
        <v>8333.3333333333339</v>
      </c>
      <c r="J108" s="40">
        <f t="shared" si="12"/>
        <v>83333.333333333328</v>
      </c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997">
        <f t="shared" si="15"/>
        <v>0</v>
      </c>
      <c r="X108" s="989">
        <f t="shared" si="16"/>
        <v>0</v>
      </c>
      <c r="Y108" s="990">
        <f t="shared" si="19"/>
        <v>0</v>
      </c>
      <c r="Z108" s="989">
        <f t="shared" si="17"/>
        <v>83333.333333333328</v>
      </c>
      <c r="AA108" s="1299">
        <f t="shared" si="18"/>
        <v>100000</v>
      </c>
    </row>
    <row r="109" spans="1:27" x14ac:dyDescent="0.25">
      <c r="A109" s="1265" t="s">
        <v>253</v>
      </c>
      <c r="B109" s="116" t="s">
        <v>93</v>
      </c>
      <c r="C109" s="203">
        <f>135000+38040</f>
        <v>173040</v>
      </c>
      <c r="D109" s="203"/>
      <c r="E109" s="203"/>
      <c r="F109" s="203"/>
      <c r="G109" s="225">
        <f t="shared" si="13"/>
        <v>173040</v>
      </c>
      <c r="H109" s="225">
        <f t="shared" si="14"/>
        <v>129780</v>
      </c>
      <c r="I109" s="225">
        <f t="shared" si="11"/>
        <v>14420</v>
      </c>
      <c r="J109" s="40">
        <f t="shared" si="12"/>
        <v>144200</v>
      </c>
      <c r="K109" s="265"/>
      <c r="L109" s="265"/>
      <c r="M109" s="265"/>
      <c r="N109" s="265"/>
      <c r="O109" s="265"/>
      <c r="P109" s="265"/>
      <c r="Q109" s="265"/>
      <c r="R109" s="265"/>
      <c r="S109" s="265">
        <v>36600</v>
      </c>
      <c r="T109" s="265"/>
      <c r="U109" s="265"/>
      <c r="V109" s="265"/>
      <c r="W109" s="997">
        <f t="shared" si="15"/>
        <v>36600</v>
      </c>
      <c r="X109" s="989">
        <f t="shared" si="16"/>
        <v>0</v>
      </c>
      <c r="Y109" s="990">
        <f t="shared" si="19"/>
        <v>36600</v>
      </c>
      <c r="Z109" s="989">
        <f t="shared" si="17"/>
        <v>107600</v>
      </c>
      <c r="AA109" s="1299">
        <f t="shared" si="18"/>
        <v>136440</v>
      </c>
    </row>
    <row r="110" spans="1:27" x14ac:dyDescent="0.25">
      <c r="A110" s="1267" t="s">
        <v>950</v>
      </c>
      <c r="B110" s="116"/>
      <c r="C110" s="203"/>
      <c r="D110" s="203"/>
      <c r="E110" s="203"/>
      <c r="F110" s="203"/>
      <c r="G110" s="225">
        <f t="shared" si="13"/>
        <v>0</v>
      </c>
      <c r="H110" s="225">
        <f t="shared" si="14"/>
        <v>0</v>
      </c>
      <c r="I110" s="225">
        <f t="shared" si="11"/>
        <v>0</v>
      </c>
      <c r="J110" s="40">
        <f t="shared" si="12"/>
        <v>0</v>
      </c>
      <c r="K110" s="265"/>
      <c r="L110" s="265"/>
      <c r="M110" s="265"/>
      <c r="N110" s="265"/>
      <c r="O110" s="265"/>
      <c r="P110" s="265"/>
      <c r="Q110" s="265"/>
      <c r="R110" s="265"/>
      <c r="S110" s="265"/>
      <c r="T110" s="265"/>
      <c r="U110" s="265"/>
      <c r="V110" s="265"/>
      <c r="W110" s="997">
        <f t="shared" si="15"/>
        <v>0</v>
      </c>
      <c r="X110" s="989">
        <f t="shared" si="16"/>
        <v>0</v>
      </c>
      <c r="Y110" s="990">
        <f t="shared" si="19"/>
        <v>0</v>
      </c>
      <c r="Z110" s="989">
        <f t="shared" si="17"/>
        <v>0</v>
      </c>
      <c r="AA110" s="1299">
        <f t="shared" si="18"/>
        <v>0</v>
      </c>
    </row>
    <row r="111" spans="1:27" x14ac:dyDescent="0.25">
      <c r="A111" s="1265" t="s">
        <v>683</v>
      </c>
      <c r="B111" s="116" t="s">
        <v>56</v>
      </c>
      <c r="C111" s="203">
        <v>25000</v>
      </c>
      <c r="D111" s="203"/>
      <c r="E111" s="203"/>
      <c r="F111" s="203"/>
      <c r="G111" s="225">
        <f t="shared" si="13"/>
        <v>25000</v>
      </c>
      <c r="H111" s="225">
        <f t="shared" si="14"/>
        <v>18750</v>
      </c>
      <c r="I111" s="225">
        <f t="shared" si="11"/>
        <v>2083.3333333333335</v>
      </c>
      <c r="J111" s="40">
        <f t="shared" si="12"/>
        <v>20833.333333333332</v>
      </c>
      <c r="K111" s="265"/>
      <c r="L111" s="265"/>
      <c r="M111" s="265"/>
      <c r="N111" s="265"/>
      <c r="O111" s="265"/>
      <c r="P111" s="265"/>
      <c r="Q111" s="265"/>
      <c r="R111" s="265"/>
      <c r="S111" s="265"/>
      <c r="T111" s="265"/>
      <c r="U111" s="265"/>
      <c r="V111" s="265"/>
      <c r="W111" s="997">
        <f t="shared" si="15"/>
        <v>0</v>
      </c>
      <c r="X111" s="989">
        <f t="shared" si="16"/>
        <v>0</v>
      </c>
      <c r="Y111" s="990">
        <f t="shared" si="19"/>
        <v>0</v>
      </c>
      <c r="Z111" s="989">
        <f t="shared" si="17"/>
        <v>20833.333333333332</v>
      </c>
      <c r="AA111" s="1299">
        <f t="shared" si="18"/>
        <v>25000</v>
      </c>
    </row>
    <row r="112" spans="1:27" x14ac:dyDescent="0.25">
      <c r="A112" s="1265" t="s">
        <v>951</v>
      </c>
      <c r="B112" s="116" t="s">
        <v>959</v>
      </c>
      <c r="C112" s="203">
        <v>5000</v>
      </c>
      <c r="D112" s="203"/>
      <c r="E112" s="203"/>
      <c r="F112" s="203"/>
      <c r="G112" s="225">
        <f t="shared" si="13"/>
        <v>5000</v>
      </c>
      <c r="H112" s="225">
        <f t="shared" si="14"/>
        <v>3750</v>
      </c>
      <c r="I112" s="225">
        <f t="shared" si="11"/>
        <v>416.66666666666669</v>
      </c>
      <c r="J112" s="40">
        <f t="shared" si="12"/>
        <v>4166.666666666667</v>
      </c>
      <c r="K112" s="265"/>
      <c r="L112" s="265"/>
      <c r="M112" s="265"/>
      <c r="N112" s="265"/>
      <c r="O112" s="265"/>
      <c r="P112" s="265"/>
      <c r="Q112" s="265"/>
      <c r="R112" s="265"/>
      <c r="S112" s="265"/>
      <c r="T112" s="265"/>
      <c r="U112" s="265"/>
      <c r="V112" s="265"/>
      <c r="W112" s="997">
        <f t="shared" si="15"/>
        <v>0</v>
      </c>
      <c r="X112" s="989">
        <f t="shared" si="16"/>
        <v>0</v>
      </c>
      <c r="Y112" s="990">
        <f t="shared" si="19"/>
        <v>0</v>
      </c>
      <c r="Z112" s="989">
        <f t="shared" si="17"/>
        <v>4166.666666666667</v>
      </c>
      <c r="AA112" s="1299">
        <f t="shared" si="18"/>
        <v>5000</v>
      </c>
    </row>
    <row r="113" spans="1:27" x14ac:dyDescent="0.25">
      <c r="A113" s="1265" t="s">
        <v>152</v>
      </c>
      <c r="B113" s="116" t="s">
        <v>153</v>
      </c>
      <c r="C113" s="203">
        <v>2000</v>
      </c>
      <c r="D113" s="203"/>
      <c r="E113" s="203"/>
      <c r="F113" s="203"/>
      <c r="G113" s="225">
        <f t="shared" si="13"/>
        <v>2000</v>
      </c>
      <c r="H113" s="225">
        <f t="shared" si="14"/>
        <v>1500</v>
      </c>
      <c r="I113" s="225">
        <f t="shared" si="11"/>
        <v>166.66666666666666</v>
      </c>
      <c r="J113" s="40">
        <f t="shared" si="12"/>
        <v>1666.6666666666667</v>
      </c>
      <c r="K113" s="265"/>
      <c r="L113" s="265"/>
      <c r="M113" s="265"/>
      <c r="N113" s="265"/>
      <c r="O113" s="265"/>
      <c r="P113" s="265"/>
      <c r="Q113" s="265"/>
      <c r="R113" s="265"/>
      <c r="S113" s="265"/>
      <c r="T113" s="265"/>
      <c r="U113" s="265"/>
      <c r="V113" s="265"/>
      <c r="W113" s="997">
        <f t="shared" si="15"/>
        <v>0</v>
      </c>
      <c r="X113" s="989">
        <f t="shared" si="16"/>
        <v>0</v>
      </c>
      <c r="Y113" s="989">
        <f t="shared" si="19"/>
        <v>0</v>
      </c>
      <c r="Z113" s="989">
        <f t="shared" si="17"/>
        <v>1666.6666666666667</v>
      </c>
      <c r="AA113" s="1299">
        <f t="shared" si="18"/>
        <v>2000</v>
      </c>
    </row>
    <row r="114" spans="1:27" x14ac:dyDescent="0.25">
      <c r="A114" s="1265" t="s">
        <v>952</v>
      </c>
      <c r="B114" s="116" t="s">
        <v>960</v>
      </c>
      <c r="C114" s="203">
        <v>8000</v>
      </c>
      <c r="D114" s="203"/>
      <c r="E114" s="203"/>
      <c r="F114" s="203"/>
      <c r="G114" s="225">
        <f t="shared" si="13"/>
        <v>8000</v>
      </c>
      <c r="H114" s="225">
        <f t="shared" si="14"/>
        <v>6000</v>
      </c>
      <c r="I114" s="225">
        <f t="shared" si="11"/>
        <v>666.66666666666663</v>
      </c>
      <c r="J114" s="40">
        <f t="shared" si="12"/>
        <v>6666.666666666667</v>
      </c>
      <c r="K114" s="265"/>
      <c r="L114" s="265"/>
      <c r="M114" s="265"/>
      <c r="N114" s="265"/>
      <c r="O114" s="265"/>
      <c r="P114" s="265"/>
      <c r="Q114" s="265"/>
      <c r="R114" s="265"/>
      <c r="S114" s="265"/>
      <c r="T114" s="265"/>
      <c r="U114" s="265"/>
      <c r="V114" s="265"/>
      <c r="W114" s="997">
        <f t="shared" si="15"/>
        <v>0</v>
      </c>
      <c r="X114" s="989">
        <f t="shared" si="16"/>
        <v>0</v>
      </c>
      <c r="Y114" s="989">
        <f t="shared" si="19"/>
        <v>0</v>
      </c>
      <c r="Z114" s="989">
        <f t="shared" si="17"/>
        <v>6666.666666666667</v>
      </c>
      <c r="AA114" s="1299">
        <f t="shared" si="18"/>
        <v>8000</v>
      </c>
    </row>
    <row r="115" spans="1:27" x14ac:dyDescent="0.25">
      <c r="A115" s="1268" t="s">
        <v>953</v>
      </c>
      <c r="B115" s="116"/>
      <c r="C115" s="203"/>
      <c r="D115" s="203"/>
      <c r="E115" s="203"/>
      <c r="F115" s="203"/>
      <c r="G115" s="225">
        <f t="shared" si="13"/>
        <v>0</v>
      </c>
      <c r="H115" s="225">
        <f t="shared" si="14"/>
        <v>0</v>
      </c>
      <c r="I115" s="225">
        <f t="shared" si="11"/>
        <v>0</v>
      </c>
      <c r="J115" s="40">
        <f t="shared" si="12"/>
        <v>0</v>
      </c>
      <c r="K115" s="265"/>
      <c r="L115" s="265"/>
      <c r="M115" s="265"/>
      <c r="N115" s="265"/>
      <c r="O115" s="265"/>
      <c r="P115" s="265"/>
      <c r="Q115" s="265"/>
      <c r="R115" s="265"/>
      <c r="S115" s="265"/>
      <c r="T115" s="265"/>
      <c r="U115" s="265"/>
      <c r="V115" s="265"/>
      <c r="W115" s="997">
        <f t="shared" si="15"/>
        <v>0</v>
      </c>
      <c r="X115" s="989">
        <f t="shared" si="16"/>
        <v>0</v>
      </c>
      <c r="Y115" s="989">
        <f t="shared" si="19"/>
        <v>0</v>
      </c>
      <c r="Z115" s="989">
        <f t="shared" si="17"/>
        <v>0</v>
      </c>
      <c r="AA115" s="1299">
        <f t="shared" si="18"/>
        <v>0</v>
      </c>
    </row>
    <row r="116" spans="1:27" x14ac:dyDescent="0.25">
      <c r="A116" s="1265" t="s">
        <v>152</v>
      </c>
      <c r="B116" s="116" t="s">
        <v>153</v>
      </c>
      <c r="C116" s="52">
        <v>10000</v>
      </c>
      <c r="D116" s="720"/>
      <c r="E116" s="720"/>
      <c r="F116" s="720"/>
      <c r="G116" s="225">
        <f t="shared" si="13"/>
        <v>10000</v>
      </c>
      <c r="H116" s="225">
        <f t="shared" si="14"/>
        <v>7500</v>
      </c>
      <c r="I116" s="225">
        <f t="shared" si="11"/>
        <v>833.33333333333337</v>
      </c>
      <c r="J116" s="40">
        <f t="shared" si="12"/>
        <v>8333.3333333333339</v>
      </c>
      <c r="K116" s="265"/>
      <c r="L116" s="265"/>
      <c r="M116" s="265"/>
      <c r="N116" s="265"/>
      <c r="O116" s="265"/>
      <c r="P116" s="265"/>
      <c r="Q116" s="265"/>
      <c r="R116" s="265"/>
      <c r="S116" s="265"/>
      <c r="T116" s="265"/>
      <c r="U116" s="265"/>
      <c r="V116" s="265"/>
      <c r="W116" s="997">
        <f t="shared" si="15"/>
        <v>0</v>
      </c>
      <c r="X116" s="989">
        <f t="shared" si="16"/>
        <v>0</v>
      </c>
      <c r="Y116" s="989">
        <f t="shared" si="19"/>
        <v>0</v>
      </c>
      <c r="Z116" s="989">
        <f t="shared" si="17"/>
        <v>8333.3333333333339</v>
      </c>
      <c r="AA116" s="1299">
        <f t="shared" si="18"/>
        <v>10000</v>
      </c>
    </row>
    <row r="117" spans="1:27" ht="27.75" customHeight="1" x14ac:dyDescent="0.25">
      <c r="A117" s="518" t="s">
        <v>954</v>
      </c>
      <c r="B117" s="116" t="s">
        <v>87</v>
      </c>
      <c r="C117" s="52">
        <v>10000</v>
      </c>
      <c r="D117" s="720"/>
      <c r="E117" s="720"/>
      <c r="F117" s="720"/>
      <c r="G117" s="225">
        <f t="shared" si="13"/>
        <v>10000</v>
      </c>
      <c r="H117" s="225">
        <f t="shared" si="14"/>
        <v>7500</v>
      </c>
      <c r="I117" s="225">
        <f t="shared" si="11"/>
        <v>833.33333333333337</v>
      </c>
      <c r="J117" s="40">
        <f t="shared" si="12"/>
        <v>8333.3333333333339</v>
      </c>
      <c r="K117" s="265"/>
      <c r="L117" s="265"/>
      <c r="M117" s="265"/>
      <c r="N117" s="265"/>
      <c r="O117" s="265"/>
      <c r="P117" s="265"/>
      <c r="Q117" s="265"/>
      <c r="R117" s="265"/>
      <c r="S117" s="265"/>
      <c r="T117" s="265"/>
      <c r="U117" s="265"/>
      <c r="V117" s="265"/>
      <c r="W117" s="997">
        <f t="shared" si="15"/>
        <v>0</v>
      </c>
      <c r="X117" s="989">
        <f t="shared" si="16"/>
        <v>0</v>
      </c>
      <c r="Y117" s="989">
        <f t="shared" si="19"/>
        <v>0</v>
      </c>
      <c r="Z117" s="989">
        <f t="shared" si="17"/>
        <v>8333.3333333333339</v>
      </c>
      <c r="AA117" s="1299">
        <f t="shared" si="18"/>
        <v>10000</v>
      </c>
    </row>
    <row r="118" spans="1:27" x14ac:dyDescent="0.25">
      <c r="A118" s="518" t="s">
        <v>253</v>
      </c>
      <c r="B118" s="116" t="s">
        <v>93</v>
      </c>
      <c r="C118" s="52">
        <v>30000</v>
      </c>
      <c r="D118" s="720"/>
      <c r="E118" s="720"/>
      <c r="F118" s="720"/>
      <c r="G118" s="225">
        <f t="shared" si="13"/>
        <v>30000</v>
      </c>
      <c r="H118" s="225">
        <f t="shared" si="14"/>
        <v>22500</v>
      </c>
      <c r="I118" s="225">
        <f t="shared" si="11"/>
        <v>2500</v>
      </c>
      <c r="J118" s="40">
        <f t="shared" si="12"/>
        <v>25000</v>
      </c>
      <c r="K118" s="265"/>
      <c r="L118" s="265"/>
      <c r="M118" s="265"/>
      <c r="N118" s="265"/>
      <c r="O118" s="265"/>
      <c r="P118" s="265"/>
      <c r="Q118" s="265"/>
      <c r="R118" s="265"/>
      <c r="S118" s="265"/>
      <c r="T118" s="265"/>
      <c r="U118" s="265"/>
      <c r="V118" s="265"/>
      <c r="W118" s="997">
        <f t="shared" si="15"/>
        <v>0</v>
      </c>
      <c r="X118" s="989">
        <f t="shared" si="16"/>
        <v>0</v>
      </c>
      <c r="Y118" s="989">
        <f t="shared" si="19"/>
        <v>0</v>
      </c>
      <c r="Z118" s="989">
        <f t="shared" si="17"/>
        <v>25000</v>
      </c>
      <c r="AA118" s="1299">
        <f t="shared" si="18"/>
        <v>30000</v>
      </c>
    </row>
    <row r="119" spans="1:27" ht="25.5" x14ac:dyDescent="0.25">
      <c r="A119" s="1269" t="s">
        <v>955</v>
      </c>
      <c r="B119" s="116"/>
      <c r="C119" s="52"/>
      <c r="D119" s="720"/>
      <c r="E119" s="720"/>
      <c r="F119" s="720"/>
      <c r="G119" s="225">
        <f t="shared" si="13"/>
        <v>0</v>
      </c>
      <c r="H119" s="225">
        <f t="shared" si="14"/>
        <v>0</v>
      </c>
      <c r="I119" s="225">
        <f t="shared" si="11"/>
        <v>0</v>
      </c>
      <c r="J119" s="40">
        <f t="shared" si="12"/>
        <v>0</v>
      </c>
      <c r="K119" s="265"/>
      <c r="L119" s="265"/>
      <c r="M119" s="265"/>
      <c r="N119" s="265"/>
      <c r="O119" s="265"/>
      <c r="P119" s="265"/>
      <c r="Q119" s="265"/>
      <c r="R119" s="265"/>
      <c r="S119" s="265"/>
      <c r="T119" s="265"/>
      <c r="U119" s="265"/>
      <c r="V119" s="265"/>
      <c r="W119" s="997">
        <f t="shared" si="15"/>
        <v>0</v>
      </c>
      <c r="X119" s="989">
        <f t="shared" si="16"/>
        <v>0</v>
      </c>
      <c r="Y119" s="989">
        <f t="shared" si="19"/>
        <v>0</v>
      </c>
      <c r="Z119" s="989">
        <f t="shared" si="17"/>
        <v>0</v>
      </c>
      <c r="AA119" s="1299">
        <f t="shared" si="18"/>
        <v>0</v>
      </c>
    </row>
    <row r="120" spans="1:27" x14ac:dyDescent="0.25">
      <c r="A120" s="518" t="s">
        <v>149</v>
      </c>
      <c r="B120" s="116" t="s">
        <v>51</v>
      </c>
      <c r="C120" s="52">
        <v>5575</v>
      </c>
      <c r="D120" s="720"/>
      <c r="E120" s="720"/>
      <c r="F120" s="720"/>
      <c r="G120" s="225">
        <f t="shared" si="13"/>
        <v>5575</v>
      </c>
      <c r="H120" s="225">
        <f t="shared" si="14"/>
        <v>4181.25</v>
      </c>
      <c r="I120" s="225">
        <f t="shared" si="11"/>
        <v>464.58333333333331</v>
      </c>
      <c r="J120" s="40">
        <f t="shared" si="12"/>
        <v>4645.833333333333</v>
      </c>
      <c r="K120" s="265"/>
      <c r="L120" s="265"/>
      <c r="M120" s="265"/>
      <c r="N120" s="265"/>
      <c r="O120" s="265"/>
      <c r="P120" s="265"/>
      <c r="Q120" s="265"/>
      <c r="R120" s="265"/>
      <c r="S120" s="265"/>
      <c r="T120" s="265"/>
      <c r="U120" s="265"/>
      <c r="V120" s="265"/>
      <c r="W120" s="997">
        <f t="shared" si="15"/>
        <v>0</v>
      </c>
      <c r="X120" s="989">
        <f t="shared" si="16"/>
        <v>0</v>
      </c>
      <c r="Y120" s="989">
        <f t="shared" si="19"/>
        <v>0</v>
      </c>
      <c r="Z120" s="989">
        <f t="shared" si="17"/>
        <v>4645.833333333333</v>
      </c>
      <c r="AA120" s="1299">
        <f t="shared" si="18"/>
        <v>5575</v>
      </c>
    </row>
    <row r="121" spans="1:27" x14ac:dyDescent="0.25">
      <c r="A121" s="1265" t="s">
        <v>152</v>
      </c>
      <c r="B121" s="116" t="s">
        <v>153</v>
      </c>
      <c r="C121" s="52">
        <v>5000</v>
      </c>
      <c r="D121" s="720"/>
      <c r="E121" s="720"/>
      <c r="F121" s="720"/>
      <c r="G121" s="225">
        <f t="shared" si="13"/>
        <v>5000</v>
      </c>
      <c r="H121" s="225">
        <f t="shared" si="14"/>
        <v>3750</v>
      </c>
      <c r="I121" s="225">
        <f t="shared" si="11"/>
        <v>416.66666666666669</v>
      </c>
      <c r="J121" s="40">
        <f t="shared" si="12"/>
        <v>4166.666666666667</v>
      </c>
      <c r="K121" s="265"/>
      <c r="L121" s="265"/>
      <c r="M121" s="265"/>
      <c r="N121" s="265"/>
      <c r="O121" s="265"/>
      <c r="P121" s="265"/>
      <c r="Q121" s="265"/>
      <c r="R121" s="265"/>
      <c r="S121" s="265"/>
      <c r="T121" s="265"/>
      <c r="U121" s="265"/>
      <c r="V121" s="265"/>
      <c r="W121" s="997">
        <f t="shared" si="15"/>
        <v>0</v>
      </c>
      <c r="X121" s="989">
        <f t="shared" si="16"/>
        <v>0</v>
      </c>
      <c r="Y121" s="989">
        <f t="shared" si="19"/>
        <v>0</v>
      </c>
      <c r="Z121" s="989">
        <f t="shared" si="17"/>
        <v>4166.666666666667</v>
      </c>
      <c r="AA121" s="1299">
        <f t="shared" si="18"/>
        <v>5000</v>
      </c>
    </row>
    <row r="122" spans="1:27" x14ac:dyDescent="0.25">
      <c r="A122" s="518" t="s">
        <v>69</v>
      </c>
      <c r="B122" s="116" t="s">
        <v>70</v>
      </c>
      <c r="C122" s="52">
        <v>2000</v>
      </c>
      <c r="D122" s="720"/>
      <c r="E122" s="720"/>
      <c r="F122" s="720"/>
      <c r="G122" s="225">
        <f t="shared" si="13"/>
        <v>2000</v>
      </c>
      <c r="H122" s="225">
        <f t="shared" si="14"/>
        <v>1500</v>
      </c>
      <c r="I122" s="225">
        <f t="shared" si="11"/>
        <v>166.66666666666666</v>
      </c>
      <c r="J122" s="40">
        <f t="shared" si="12"/>
        <v>1666.6666666666667</v>
      </c>
      <c r="K122" s="265"/>
      <c r="L122" s="265"/>
      <c r="M122" s="265"/>
      <c r="N122" s="265"/>
      <c r="O122" s="265"/>
      <c r="P122" s="265"/>
      <c r="Q122" s="265"/>
      <c r="R122" s="265"/>
      <c r="S122" s="265"/>
      <c r="T122" s="265"/>
      <c r="U122" s="265"/>
      <c r="V122" s="265"/>
      <c r="W122" s="997">
        <f t="shared" si="15"/>
        <v>0</v>
      </c>
      <c r="X122" s="989">
        <f t="shared" si="16"/>
        <v>0</v>
      </c>
      <c r="Y122" s="989">
        <f t="shared" si="19"/>
        <v>0</v>
      </c>
      <c r="Z122" s="989">
        <f t="shared" si="17"/>
        <v>1666.6666666666667</v>
      </c>
      <c r="AA122" s="1299">
        <f t="shared" si="18"/>
        <v>2000</v>
      </c>
    </row>
    <row r="123" spans="1:27" x14ac:dyDescent="0.25">
      <c r="A123" s="518" t="s">
        <v>722</v>
      </c>
      <c r="B123" s="116" t="s">
        <v>87</v>
      </c>
      <c r="C123" s="52">
        <v>1000</v>
      </c>
      <c r="D123" s="720"/>
      <c r="E123" s="720"/>
      <c r="F123" s="720"/>
      <c r="G123" s="225">
        <f t="shared" si="13"/>
        <v>1000</v>
      </c>
      <c r="H123" s="225">
        <f t="shared" si="14"/>
        <v>750</v>
      </c>
      <c r="I123" s="225">
        <f t="shared" si="11"/>
        <v>83.333333333333329</v>
      </c>
      <c r="J123" s="40">
        <f t="shared" si="12"/>
        <v>833.33333333333337</v>
      </c>
      <c r="K123" s="265"/>
      <c r="L123" s="265"/>
      <c r="M123" s="265"/>
      <c r="N123" s="265"/>
      <c r="O123" s="265"/>
      <c r="P123" s="265"/>
      <c r="Q123" s="265"/>
      <c r="R123" s="265"/>
      <c r="S123" s="265"/>
      <c r="T123" s="265"/>
      <c r="U123" s="265"/>
      <c r="V123" s="265"/>
      <c r="W123" s="997">
        <f t="shared" si="15"/>
        <v>0</v>
      </c>
      <c r="X123" s="989">
        <f t="shared" si="16"/>
        <v>0</v>
      </c>
      <c r="Y123" s="989">
        <f t="shared" si="19"/>
        <v>0</v>
      </c>
      <c r="Z123" s="989">
        <f t="shared" si="17"/>
        <v>833.33333333333337</v>
      </c>
      <c r="AA123" s="1299">
        <f t="shared" si="18"/>
        <v>1000</v>
      </c>
    </row>
    <row r="124" spans="1:27" x14ac:dyDescent="0.25">
      <c r="A124" s="518" t="s">
        <v>253</v>
      </c>
      <c r="B124" s="116" t="s">
        <v>93</v>
      </c>
      <c r="C124" s="52">
        <v>75000</v>
      </c>
      <c r="D124" s="720"/>
      <c r="E124" s="720"/>
      <c r="F124" s="720"/>
      <c r="G124" s="225">
        <f t="shared" si="13"/>
        <v>75000</v>
      </c>
      <c r="H124" s="225">
        <f t="shared" si="14"/>
        <v>56250</v>
      </c>
      <c r="I124" s="225">
        <f t="shared" si="11"/>
        <v>6250</v>
      </c>
      <c r="J124" s="40">
        <f t="shared" si="12"/>
        <v>62500</v>
      </c>
      <c r="K124" s="265"/>
      <c r="L124" s="265"/>
      <c r="M124" s="265"/>
      <c r="N124" s="265"/>
      <c r="O124" s="265"/>
      <c r="P124" s="265"/>
      <c r="Q124" s="265"/>
      <c r="R124" s="265"/>
      <c r="S124" s="265"/>
      <c r="T124" s="265"/>
      <c r="U124" s="265"/>
      <c r="V124" s="265"/>
      <c r="W124" s="997">
        <f t="shared" si="15"/>
        <v>0</v>
      </c>
      <c r="X124" s="989">
        <f t="shared" si="16"/>
        <v>0</v>
      </c>
      <c r="Y124" s="989">
        <f t="shared" si="19"/>
        <v>0</v>
      </c>
      <c r="Z124" s="989">
        <f t="shared" si="17"/>
        <v>62500</v>
      </c>
      <c r="AA124" s="1299">
        <f t="shared" si="18"/>
        <v>75000</v>
      </c>
    </row>
    <row r="125" spans="1:27" x14ac:dyDescent="0.25">
      <c r="A125" s="284" t="s">
        <v>956</v>
      </c>
      <c r="B125" s="116"/>
      <c r="C125" s="203"/>
      <c r="D125" s="203"/>
      <c r="E125" s="203"/>
      <c r="F125" s="203"/>
      <c r="G125" s="225">
        <f t="shared" si="13"/>
        <v>0</v>
      </c>
      <c r="H125" s="225">
        <f t="shared" si="14"/>
        <v>0</v>
      </c>
      <c r="I125" s="225">
        <f t="shared" si="11"/>
        <v>0</v>
      </c>
      <c r="J125" s="40">
        <f t="shared" si="12"/>
        <v>0</v>
      </c>
      <c r="K125" s="265"/>
      <c r="L125" s="265"/>
      <c r="M125" s="265"/>
      <c r="N125" s="265"/>
      <c r="O125" s="265"/>
      <c r="P125" s="265"/>
      <c r="Q125" s="265"/>
      <c r="R125" s="265"/>
      <c r="S125" s="265"/>
      <c r="T125" s="265"/>
      <c r="U125" s="265"/>
      <c r="V125" s="265"/>
      <c r="W125" s="997">
        <f t="shared" si="15"/>
        <v>0</v>
      </c>
      <c r="X125" s="989">
        <f t="shared" si="16"/>
        <v>0</v>
      </c>
      <c r="Y125" s="989">
        <f t="shared" si="19"/>
        <v>0</v>
      </c>
      <c r="Z125" s="989">
        <f t="shared" si="17"/>
        <v>0</v>
      </c>
      <c r="AA125" s="1299">
        <f t="shared" si="18"/>
        <v>0</v>
      </c>
    </row>
    <row r="126" spans="1:27" x14ac:dyDescent="0.25">
      <c r="A126" s="61" t="s">
        <v>149</v>
      </c>
      <c r="B126" s="116" t="s">
        <v>51</v>
      </c>
      <c r="C126" s="203">
        <v>5000</v>
      </c>
      <c r="D126" s="203"/>
      <c r="E126" s="203"/>
      <c r="F126" s="203"/>
      <c r="G126" s="225">
        <f t="shared" si="13"/>
        <v>5000</v>
      </c>
      <c r="H126" s="225">
        <f t="shared" si="14"/>
        <v>3750</v>
      </c>
      <c r="I126" s="225">
        <f t="shared" si="11"/>
        <v>416.66666666666669</v>
      </c>
      <c r="J126" s="40">
        <f t="shared" si="12"/>
        <v>4166.666666666667</v>
      </c>
      <c r="K126" s="265"/>
      <c r="L126" s="265"/>
      <c r="M126" s="265"/>
      <c r="N126" s="265"/>
      <c r="O126" s="265"/>
      <c r="P126" s="265"/>
      <c r="Q126" s="265"/>
      <c r="R126" s="265"/>
      <c r="S126" s="265"/>
      <c r="T126" s="265"/>
      <c r="U126" s="265"/>
      <c r="V126" s="265"/>
      <c r="W126" s="997">
        <f t="shared" si="15"/>
        <v>0</v>
      </c>
      <c r="X126" s="989">
        <f t="shared" si="16"/>
        <v>0</v>
      </c>
      <c r="Y126" s="989">
        <f t="shared" si="19"/>
        <v>0</v>
      </c>
      <c r="Z126" s="989">
        <f t="shared" si="17"/>
        <v>4166.666666666667</v>
      </c>
      <c r="AA126" s="1299">
        <f t="shared" si="18"/>
        <v>5000</v>
      </c>
    </row>
    <row r="127" spans="1:27" x14ac:dyDescent="0.25">
      <c r="A127" s="61" t="s">
        <v>683</v>
      </c>
      <c r="B127" s="116" t="s">
        <v>56</v>
      </c>
      <c r="C127" s="203">
        <v>20000</v>
      </c>
      <c r="D127" s="203"/>
      <c r="E127" s="203"/>
      <c r="F127" s="203"/>
      <c r="G127" s="225">
        <f t="shared" si="13"/>
        <v>20000</v>
      </c>
      <c r="H127" s="225">
        <f t="shared" si="14"/>
        <v>15000</v>
      </c>
      <c r="I127" s="225">
        <f t="shared" si="11"/>
        <v>1666.6666666666667</v>
      </c>
      <c r="J127" s="40">
        <f t="shared" si="12"/>
        <v>16666.666666666668</v>
      </c>
      <c r="K127" s="265"/>
      <c r="L127" s="265"/>
      <c r="M127" s="265"/>
      <c r="N127" s="265"/>
      <c r="O127" s="265"/>
      <c r="P127" s="265"/>
      <c r="Q127" s="265"/>
      <c r="R127" s="265"/>
      <c r="S127" s="265"/>
      <c r="T127" s="265"/>
      <c r="U127" s="265"/>
      <c r="V127" s="265"/>
      <c r="W127" s="997">
        <f t="shared" si="15"/>
        <v>0</v>
      </c>
      <c r="X127" s="989">
        <f t="shared" si="16"/>
        <v>0</v>
      </c>
      <c r="Y127" s="989">
        <f t="shared" si="19"/>
        <v>0</v>
      </c>
      <c r="Z127" s="989">
        <f t="shared" si="17"/>
        <v>16666.666666666668</v>
      </c>
      <c r="AA127" s="1299">
        <f t="shared" si="18"/>
        <v>20000</v>
      </c>
    </row>
    <row r="128" spans="1:27" x14ac:dyDescent="0.25">
      <c r="A128" s="61" t="s">
        <v>722</v>
      </c>
      <c r="B128" s="116" t="s">
        <v>87</v>
      </c>
      <c r="C128" s="203">
        <v>5000</v>
      </c>
      <c r="D128" s="203"/>
      <c r="E128" s="203"/>
      <c r="F128" s="203"/>
      <c r="G128" s="225">
        <f t="shared" si="13"/>
        <v>5000</v>
      </c>
      <c r="H128" s="225">
        <f t="shared" si="14"/>
        <v>3750</v>
      </c>
      <c r="I128" s="225">
        <f t="shared" si="11"/>
        <v>416.66666666666669</v>
      </c>
      <c r="J128" s="40">
        <f t="shared" si="12"/>
        <v>4166.666666666667</v>
      </c>
      <c r="K128" s="265"/>
      <c r="L128" s="265"/>
      <c r="M128" s="265"/>
      <c r="N128" s="265"/>
      <c r="O128" s="265"/>
      <c r="P128" s="265"/>
      <c r="Q128" s="265"/>
      <c r="R128" s="265"/>
      <c r="S128" s="265"/>
      <c r="T128" s="265"/>
      <c r="U128" s="265"/>
      <c r="V128" s="265"/>
      <c r="W128" s="997">
        <f t="shared" si="15"/>
        <v>0</v>
      </c>
      <c r="X128" s="989">
        <f t="shared" si="16"/>
        <v>0</v>
      </c>
      <c r="Y128" s="989">
        <f t="shared" si="19"/>
        <v>0</v>
      </c>
      <c r="Z128" s="989">
        <f t="shared" si="17"/>
        <v>4166.666666666667</v>
      </c>
      <c r="AA128" s="1299">
        <f t="shared" si="18"/>
        <v>5000</v>
      </c>
    </row>
    <row r="129" spans="1:27" x14ac:dyDescent="0.25">
      <c r="A129" s="975" t="s">
        <v>289</v>
      </c>
      <c r="B129" s="116"/>
      <c r="C129" s="203"/>
      <c r="D129" s="203"/>
      <c r="E129" s="203"/>
      <c r="F129" s="203"/>
      <c r="G129" s="225">
        <f t="shared" si="13"/>
        <v>0</v>
      </c>
      <c r="H129" s="225">
        <f t="shared" si="14"/>
        <v>0</v>
      </c>
      <c r="I129" s="225">
        <f t="shared" si="11"/>
        <v>0</v>
      </c>
      <c r="J129" s="40">
        <f t="shared" si="12"/>
        <v>0</v>
      </c>
      <c r="K129" s="265"/>
      <c r="L129" s="265"/>
      <c r="M129" s="265"/>
      <c r="N129" s="265"/>
      <c r="O129" s="265"/>
      <c r="P129" s="265"/>
      <c r="Q129" s="265"/>
      <c r="R129" s="265"/>
      <c r="S129" s="265"/>
      <c r="T129" s="265"/>
      <c r="U129" s="265"/>
      <c r="V129" s="265"/>
      <c r="W129" s="997">
        <f t="shared" si="15"/>
        <v>0</v>
      </c>
      <c r="X129" s="989">
        <f t="shared" si="16"/>
        <v>0</v>
      </c>
      <c r="Y129" s="989">
        <f t="shared" si="19"/>
        <v>0</v>
      </c>
      <c r="Z129" s="989">
        <f t="shared" si="17"/>
        <v>0</v>
      </c>
      <c r="AA129" s="1299">
        <f t="shared" si="18"/>
        <v>0</v>
      </c>
    </row>
    <row r="130" spans="1:27" x14ac:dyDescent="0.25">
      <c r="A130" s="173" t="s">
        <v>50</v>
      </c>
      <c r="B130" s="116" t="s">
        <v>51</v>
      </c>
      <c r="C130" s="203">
        <v>30000</v>
      </c>
      <c r="D130" s="203"/>
      <c r="E130" s="203"/>
      <c r="F130" s="203"/>
      <c r="G130" s="225">
        <f t="shared" si="13"/>
        <v>30000</v>
      </c>
      <c r="H130" s="225">
        <f t="shared" si="14"/>
        <v>22500</v>
      </c>
      <c r="I130" s="225">
        <f t="shared" si="11"/>
        <v>2500</v>
      </c>
      <c r="J130" s="40">
        <f t="shared" si="12"/>
        <v>25000</v>
      </c>
      <c r="K130" s="265"/>
      <c r="L130" s="265"/>
      <c r="M130" s="265">
        <v>12000</v>
      </c>
      <c r="N130" s="265"/>
      <c r="O130" s="265"/>
      <c r="P130" s="265"/>
      <c r="Q130" s="265">
        <v>9450</v>
      </c>
      <c r="R130" s="265"/>
      <c r="S130" s="265"/>
      <c r="T130" s="265"/>
      <c r="U130" s="265"/>
      <c r="V130" s="265"/>
      <c r="W130" s="997">
        <f t="shared" si="15"/>
        <v>21450</v>
      </c>
      <c r="X130" s="989">
        <f t="shared" si="16"/>
        <v>0</v>
      </c>
      <c r="Y130" s="989">
        <f t="shared" si="19"/>
        <v>21450</v>
      </c>
      <c r="Z130" s="989">
        <f t="shared" si="17"/>
        <v>3550</v>
      </c>
      <c r="AA130" s="1299">
        <f t="shared" si="18"/>
        <v>8550</v>
      </c>
    </row>
    <row r="131" spans="1:27" x14ac:dyDescent="0.25">
      <c r="A131" s="173" t="s">
        <v>55</v>
      </c>
      <c r="B131" s="116" t="s">
        <v>56</v>
      </c>
      <c r="C131" s="203">
        <v>40000</v>
      </c>
      <c r="D131" s="203"/>
      <c r="E131" s="203"/>
      <c r="F131" s="203"/>
      <c r="G131" s="225">
        <f t="shared" si="13"/>
        <v>40000</v>
      </c>
      <c r="H131" s="225">
        <f t="shared" si="14"/>
        <v>30000</v>
      </c>
      <c r="I131" s="225">
        <f t="shared" ref="I131:I140" si="20">G131/12</f>
        <v>3333.3333333333335</v>
      </c>
      <c r="J131" s="40">
        <f t="shared" ref="J131:J140" si="21">H131+I131</f>
        <v>33333.333333333336</v>
      </c>
      <c r="K131" s="265"/>
      <c r="L131" s="265"/>
      <c r="M131" s="265">
        <v>835.52</v>
      </c>
      <c r="N131" s="265">
        <v>5013.12</v>
      </c>
      <c r="O131" s="265">
        <v>4704</v>
      </c>
      <c r="P131" s="265"/>
      <c r="Q131" s="265"/>
      <c r="R131" s="265">
        <v>5772.48</v>
      </c>
      <c r="S131" s="265">
        <v>13229.44</v>
      </c>
      <c r="T131" s="265"/>
      <c r="U131" s="265"/>
      <c r="V131" s="265"/>
      <c r="W131" s="997">
        <f t="shared" si="15"/>
        <v>29554.559999999998</v>
      </c>
      <c r="X131" s="989">
        <f t="shared" si="16"/>
        <v>0</v>
      </c>
      <c r="Y131" s="989">
        <f t="shared" si="19"/>
        <v>29554.559999999998</v>
      </c>
      <c r="Z131" s="989">
        <f t="shared" si="17"/>
        <v>3778.7733333333381</v>
      </c>
      <c r="AA131" s="1299">
        <f t="shared" si="18"/>
        <v>10445.440000000002</v>
      </c>
    </row>
    <row r="132" spans="1:27" x14ac:dyDescent="0.25">
      <c r="A132" s="173" t="s">
        <v>957</v>
      </c>
      <c r="B132" s="116" t="s">
        <v>79</v>
      </c>
      <c r="C132" s="203">
        <v>10000</v>
      </c>
      <c r="D132" s="203"/>
      <c r="E132" s="203"/>
      <c r="F132" s="203"/>
      <c r="G132" s="225">
        <f t="shared" si="13"/>
        <v>10000</v>
      </c>
      <c r="H132" s="225">
        <f t="shared" si="14"/>
        <v>7500</v>
      </c>
      <c r="I132" s="225">
        <f t="shared" si="20"/>
        <v>833.33333333333337</v>
      </c>
      <c r="J132" s="40">
        <f t="shared" si="21"/>
        <v>8333.3333333333339</v>
      </c>
      <c r="K132" s="265"/>
      <c r="L132" s="265"/>
      <c r="M132" s="265"/>
      <c r="N132" s="265"/>
      <c r="O132" s="265"/>
      <c r="P132" s="265"/>
      <c r="Q132" s="265"/>
      <c r="R132" s="265"/>
      <c r="S132" s="265"/>
      <c r="T132" s="265"/>
      <c r="U132" s="265"/>
      <c r="V132" s="265"/>
      <c r="W132" s="997">
        <f t="shared" si="15"/>
        <v>0</v>
      </c>
      <c r="X132" s="989">
        <f t="shared" si="16"/>
        <v>0</v>
      </c>
      <c r="Y132" s="989">
        <f t="shared" si="19"/>
        <v>0</v>
      </c>
      <c r="Z132" s="989">
        <f t="shared" si="17"/>
        <v>8333.3333333333339</v>
      </c>
      <c r="AA132" s="1299">
        <f t="shared" si="18"/>
        <v>10000</v>
      </c>
    </row>
    <row r="133" spans="1:27" s="987" customFormat="1" ht="26.25" x14ac:dyDescent="0.25">
      <c r="A133" s="620" t="s">
        <v>1236</v>
      </c>
      <c r="B133" s="676"/>
      <c r="C133" s="203"/>
      <c r="D133" s="203"/>
      <c r="E133" s="203"/>
      <c r="F133" s="203">
        <v>100000</v>
      </c>
      <c r="G133" s="225">
        <f t="shared" si="13"/>
        <v>100000</v>
      </c>
      <c r="H133" s="225">
        <f t="shared" si="14"/>
        <v>75000</v>
      </c>
      <c r="I133" s="225"/>
      <c r="J133" s="989"/>
      <c r="K133" s="997"/>
      <c r="L133" s="997"/>
      <c r="M133" s="997"/>
      <c r="N133" s="997"/>
      <c r="O133" s="997"/>
      <c r="P133" s="997"/>
      <c r="Q133" s="997"/>
      <c r="R133" s="997"/>
      <c r="S133" s="997">
        <v>99820</v>
      </c>
      <c r="T133" s="997"/>
      <c r="U133" s="997"/>
      <c r="V133" s="997"/>
      <c r="W133" s="997">
        <f t="shared" si="15"/>
        <v>99820</v>
      </c>
      <c r="X133" s="989">
        <f t="shared" si="16"/>
        <v>0</v>
      </c>
      <c r="Y133" s="989">
        <f t="shared" si="19"/>
        <v>99820</v>
      </c>
      <c r="Z133" s="989">
        <f t="shared" si="17"/>
        <v>-99820</v>
      </c>
      <c r="AA133" s="1299">
        <f t="shared" si="18"/>
        <v>180</v>
      </c>
    </row>
    <row r="134" spans="1:27" x14ac:dyDescent="0.25">
      <c r="A134" s="173" t="s">
        <v>155</v>
      </c>
      <c r="B134" s="116" t="s">
        <v>106</v>
      </c>
      <c r="C134" s="203">
        <v>20000</v>
      </c>
      <c r="D134" s="203"/>
      <c r="E134" s="203"/>
      <c r="F134" s="203"/>
      <c r="G134" s="225">
        <f t="shared" si="13"/>
        <v>20000</v>
      </c>
      <c r="H134" s="225">
        <f t="shared" si="14"/>
        <v>15000</v>
      </c>
      <c r="I134" s="225">
        <f t="shared" si="20"/>
        <v>1666.6666666666667</v>
      </c>
      <c r="J134" s="40">
        <f t="shared" si="21"/>
        <v>16666.666666666668</v>
      </c>
      <c r="K134" s="265"/>
      <c r="L134" s="265"/>
      <c r="M134" s="265"/>
      <c r="N134" s="265"/>
      <c r="O134" s="265"/>
      <c r="P134" s="265"/>
      <c r="Q134" s="265"/>
      <c r="R134" s="265"/>
      <c r="S134" s="265"/>
      <c r="T134" s="265"/>
      <c r="U134" s="265"/>
      <c r="V134" s="265"/>
      <c r="W134" s="997">
        <f t="shared" si="15"/>
        <v>0</v>
      </c>
      <c r="X134" s="989">
        <f t="shared" si="16"/>
        <v>0</v>
      </c>
      <c r="Y134" s="989">
        <f t="shared" si="19"/>
        <v>0</v>
      </c>
      <c r="Z134" s="989">
        <f t="shared" si="17"/>
        <v>16666.666666666668</v>
      </c>
      <c r="AA134" s="1299">
        <f t="shared" si="18"/>
        <v>20000</v>
      </c>
    </row>
    <row r="135" spans="1:27" x14ac:dyDescent="0.25">
      <c r="A135" s="975" t="s">
        <v>290</v>
      </c>
      <c r="B135" s="116"/>
      <c r="C135" s="203"/>
      <c r="D135" s="203"/>
      <c r="E135" s="203"/>
      <c r="F135" s="203"/>
      <c r="G135" s="225">
        <f t="shared" si="13"/>
        <v>0</v>
      </c>
      <c r="H135" s="225">
        <f t="shared" si="14"/>
        <v>0</v>
      </c>
      <c r="I135" s="225">
        <f t="shared" si="20"/>
        <v>0</v>
      </c>
      <c r="J135" s="40">
        <f t="shared" si="21"/>
        <v>0</v>
      </c>
      <c r="K135" s="265"/>
      <c r="L135" s="265"/>
      <c r="M135" s="265"/>
      <c r="N135" s="265"/>
      <c r="O135" s="265"/>
      <c r="P135" s="265"/>
      <c r="Q135" s="265"/>
      <c r="R135" s="265"/>
      <c r="S135" s="265"/>
      <c r="T135" s="265"/>
      <c r="U135" s="265"/>
      <c r="V135" s="265"/>
      <c r="W135" s="997">
        <f t="shared" si="15"/>
        <v>0</v>
      </c>
      <c r="X135" s="989">
        <f t="shared" si="16"/>
        <v>0</v>
      </c>
      <c r="Y135" s="989">
        <f t="shared" si="19"/>
        <v>0</v>
      </c>
      <c r="Z135" s="989">
        <f t="shared" si="17"/>
        <v>0</v>
      </c>
      <c r="AA135" s="1299">
        <f t="shared" si="18"/>
        <v>0</v>
      </c>
    </row>
    <row r="136" spans="1:27" x14ac:dyDescent="0.25">
      <c r="A136" s="173" t="s">
        <v>50</v>
      </c>
      <c r="B136" s="116" t="s">
        <v>51</v>
      </c>
      <c r="C136" s="203">
        <f>50000+25000</f>
        <v>75000</v>
      </c>
      <c r="D136" s="203"/>
      <c r="E136" s="203"/>
      <c r="F136" s="203"/>
      <c r="G136" s="225">
        <f t="shared" si="13"/>
        <v>75000</v>
      </c>
      <c r="H136" s="225">
        <f t="shared" si="14"/>
        <v>56250</v>
      </c>
      <c r="I136" s="225">
        <f t="shared" si="20"/>
        <v>6250</v>
      </c>
      <c r="J136" s="40">
        <f t="shared" si="21"/>
        <v>62500</v>
      </c>
      <c r="K136" s="265"/>
      <c r="L136" s="265"/>
      <c r="M136" s="265">
        <v>20000</v>
      </c>
      <c r="N136" s="265"/>
      <c r="O136" s="265"/>
      <c r="P136" s="265"/>
      <c r="Q136" s="265">
        <v>26666</v>
      </c>
      <c r="R136" s="265"/>
      <c r="S136" s="265"/>
      <c r="T136" s="265"/>
      <c r="U136" s="265"/>
      <c r="V136" s="265"/>
      <c r="W136" s="997">
        <f t="shared" si="15"/>
        <v>46666</v>
      </c>
      <c r="X136" s="989">
        <f t="shared" si="16"/>
        <v>0</v>
      </c>
      <c r="Y136" s="989">
        <f t="shared" si="19"/>
        <v>46666</v>
      </c>
      <c r="Z136" s="989">
        <f t="shared" si="17"/>
        <v>15834</v>
      </c>
      <c r="AA136" s="1299">
        <f t="shared" si="18"/>
        <v>28334</v>
      </c>
    </row>
    <row r="137" spans="1:27" x14ac:dyDescent="0.25">
      <c r="A137" s="173" t="s">
        <v>155</v>
      </c>
      <c r="B137" s="116" t="s">
        <v>106</v>
      </c>
      <c r="C137" s="203">
        <v>25000</v>
      </c>
      <c r="D137" s="203"/>
      <c r="E137" s="203"/>
      <c r="F137" s="203"/>
      <c r="G137" s="225">
        <f t="shared" si="13"/>
        <v>25000</v>
      </c>
      <c r="H137" s="225">
        <f t="shared" si="14"/>
        <v>18750</v>
      </c>
      <c r="I137" s="225">
        <f t="shared" si="20"/>
        <v>2083.3333333333335</v>
      </c>
      <c r="J137" s="40">
        <f t="shared" si="21"/>
        <v>20833.333333333332</v>
      </c>
      <c r="K137" s="265"/>
      <c r="L137" s="265"/>
      <c r="M137" s="265"/>
      <c r="N137" s="265"/>
      <c r="O137" s="265"/>
      <c r="P137" s="265"/>
      <c r="Q137" s="265"/>
      <c r="R137" s="265"/>
      <c r="S137" s="265"/>
      <c r="T137" s="265"/>
      <c r="U137" s="265"/>
      <c r="V137" s="265"/>
      <c r="W137" s="997">
        <f t="shared" si="15"/>
        <v>0</v>
      </c>
      <c r="X137" s="989">
        <f t="shared" si="16"/>
        <v>0</v>
      </c>
      <c r="Y137" s="989">
        <f t="shared" si="19"/>
        <v>0</v>
      </c>
      <c r="Z137" s="989">
        <f t="shared" si="17"/>
        <v>20833.333333333332</v>
      </c>
      <c r="AA137" s="1299">
        <f t="shared" si="18"/>
        <v>25000</v>
      </c>
    </row>
    <row r="138" spans="1:27" x14ac:dyDescent="0.25">
      <c r="A138" s="822" t="s">
        <v>295</v>
      </c>
      <c r="B138" s="116"/>
      <c r="C138" s="203"/>
      <c r="D138" s="203"/>
      <c r="E138" s="203"/>
      <c r="F138" s="203"/>
      <c r="G138" s="225">
        <f t="shared" ref="G138:G140" si="22">SUM(C138:F138)</f>
        <v>0</v>
      </c>
      <c r="H138" s="225">
        <f t="shared" ref="H138:H140" si="23">G138/12*9</f>
        <v>0</v>
      </c>
      <c r="I138" s="225">
        <f t="shared" si="20"/>
        <v>0</v>
      </c>
      <c r="J138" s="40">
        <f t="shared" si="21"/>
        <v>0</v>
      </c>
      <c r="K138" s="265"/>
      <c r="L138" s="265"/>
      <c r="M138" s="265"/>
      <c r="N138" s="265"/>
      <c r="O138" s="265"/>
      <c r="P138" s="265"/>
      <c r="Q138" s="265"/>
      <c r="R138" s="265"/>
      <c r="S138" s="265"/>
      <c r="T138" s="265"/>
      <c r="U138" s="265"/>
      <c r="V138" s="265"/>
      <c r="W138" s="997">
        <f t="shared" ref="W138:W140" si="24">K138+L138+M138+N138+O138+P138+Q138+R138+S138</f>
        <v>0</v>
      </c>
      <c r="X138" s="989">
        <f t="shared" ref="X138:X140" si="25">T138</f>
        <v>0</v>
      </c>
      <c r="Y138" s="989">
        <f t="shared" si="19"/>
        <v>0</v>
      </c>
      <c r="Z138" s="989">
        <f t="shared" ref="Z138:Z140" si="26">J138-Y138</f>
        <v>0</v>
      </c>
      <c r="AA138" s="1299">
        <f t="shared" ref="AA138:AA140" si="27">G138-Y138</f>
        <v>0</v>
      </c>
    </row>
    <row r="139" spans="1:27" x14ac:dyDescent="0.25">
      <c r="A139" s="975" t="s">
        <v>296</v>
      </c>
      <c r="B139" s="115"/>
      <c r="C139" s="203"/>
      <c r="D139" s="203"/>
      <c r="E139" s="203"/>
      <c r="F139" s="203"/>
      <c r="G139" s="225">
        <f t="shared" si="22"/>
        <v>0</v>
      </c>
      <c r="H139" s="225">
        <f t="shared" si="23"/>
        <v>0</v>
      </c>
      <c r="I139" s="225">
        <f t="shared" si="20"/>
        <v>0</v>
      </c>
      <c r="J139" s="40">
        <f t="shared" si="21"/>
        <v>0</v>
      </c>
      <c r="K139" s="265"/>
      <c r="L139" s="265"/>
      <c r="M139" s="265"/>
      <c r="N139" s="265"/>
      <c r="O139" s="265"/>
      <c r="P139" s="265"/>
      <c r="Q139" s="265"/>
      <c r="R139" s="265"/>
      <c r="S139" s="265"/>
      <c r="T139" s="265"/>
      <c r="U139" s="265"/>
      <c r="V139" s="265"/>
      <c r="W139" s="997">
        <f t="shared" si="24"/>
        <v>0</v>
      </c>
      <c r="X139" s="989">
        <f t="shared" si="25"/>
        <v>0</v>
      </c>
      <c r="Y139" s="989">
        <f t="shared" si="19"/>
        <v>0</v>
      </c>
      <c r="Z139" s="989">
        <f t="shared" si="26"/>
        <v>0</v>
      </c>
      <c r="AA139" s="1299">
        <f t="shared" si="27"/>
        <v>0</v>
      </c>
    </row>
    <row r="140" spans="1:27" x14ac:dyDescent="0.25">
      <c r="A140" s="173" t="s">
        <v>958</v>
      </c>
      <c r="B140" s="116" t="s">
        <v>961</v>
      </c>
      <c r="C140" s="203">
        <v>500000</v>
      </c>
      <c r="D140" s="203"/>
      <c r="E140" s="203"/>
      <c r="F140" s="203"/>
      <c r="G140" s="225">
        <f t="shared" si="22"/>
        <v>500000</v>
      </c>
      <c r="H140" s="225">
        <f t="shared" si="23"/>
        <v>375000</v>
      </c>
      <c r="I140" s="225">
        <f t="shared" si="20"/>
        <v>41666.666666666664</v>
      </c>
      <c r="J140" s="40">
        <f t="shared" si="21"/>
        <v>416666.66666666669</v>
      </c>
      <c r="K140" s="265"/>
      <c r="L140" s="265">
        <v>60000</v>
      </c>
      <c r="M140" s="265">
        <v>10000</v>
      </c>
      <c r="N140" s="265"/>
      <c r="O140" s="265"/>
      <c r="P140" s="265"/>
      <c r="Q140" s="265"/>
      <c r="R140" s="265">
        <v>19147</v>
      </c>
      <c r="S140" s="265">
        <v>3840</v>
      </c>
      <c r="T140" s="265">
        <v>10000</v>
      </c>
      <c r="U140" s="265"/>
      <c r="V140" s="265"/>
      <c r="W140" s="997">
        <f t="shared" si="24"/>
        <v>92987</v>
      </c>
      <c r="X140" s="989">
        <f t="shared" si="25"/>
        <v>10000</v>
      </c>
      <c r="Y140" s="989">
        <f t="shared" ref="Y140" si="28">W140+X140</f>
        <v>102987</v>
      </c>
      <c r="Z140" s="989">
        <f t="shared" si="26"/>
        <v>313679.66666666669</v>
      </c>
      <c r="AA140" s="1299">
        <f t="shared" si="27"/>
        <v>397013</v>
      </c>
    </row>
    <row r="141" spans="1:27" s="745" customFormat="1" x14ac:dyDescent="0.25">
      <c r="A141" s="891" t="s">
        <v>1160</v>
      </c>
      <c r="B141" s="737"/>
      <c r="C141" s="657">
        <f>SUM(C9:C140)</f>
        <v>6159575</v>
      </c>
      <c r="D141" s="657">
        <f t="shared" ref="D141:F141" si="29">SUM(D9:D140)</f>
        <v>-105000</v>
      </c>
      <c r="E141" s="657">
        <f t="shared" si="29"/>
        <v>0</v>
      </c>
      <c r="F141" s="657">
        <f t="shared" si="29"/>
        <v>1190000</v>
      </c>
      <c r="G141" s="657">
        <f t="shared" ref="G141:Y141" si="30">SUM(G9:G140)</f>
        <v>7244575</v>
      </c>
      <c r="H141" s="657">
        <f t="shared" si="30"/>
        <v>5433431.25</v>
      </c>
      <c r="I141" s="657">
        <f t="shared" si="30"/>
        <v>589131.24999999977</v>
      </c>
      <c r="J141" s="657">
        <f t="shared" si="30"/>
        <v>5891312.5000000019</v>
      </c>
      <c r="K141" s="657">
        <f t="shared" si="30"/>
        <v>16401.48</v>
      </c>
      <c r="L141" s="657">
        <f t="shared" si="30"/>
        <v>110100</v>
      </c>
      <c r="M141" s="657">
        <f t="shared" si="30"/>
        <v>128178.52</v>
      </c>
      <c r="N141" s="657">
        <f>SUM(N9:N140)</f>
        <v>100473.12</v>
      </c>
      <c r="O141" s="657">
        <f t="shared" si="30"/>
        <v>368004</v>
      </c>
      <c r="P141" s="657">
        <f t="shared" si="30"/>
        <v>361899</v>
      </c>
      <c r="Q141" s="657">
        <f t="shared" si="30"/>
        <v>552400</v>
      </c>
      <c r="R141" s="657">
        <f t="shared" si="30"/>
        <v>312291.48</v>
      </c>
      <c r="S141" s="657">
        <f t="shared" si="30"/>
        <v>533303.43999999994</v>
      </c>
      <c r="T141" s="657">
        <f t="shared" si="30"/>
        <v>81621</v>
      </c>
      <c r="U141" s="657">
        <f t="shared" si="30"/>
        <v>0</v>
      </c>
      <c r="V141" s="657">
        <f t="shared" si="30"/>
        <v>0</v>
      </c>
      <c r="W141" s="657">
        <f t="shared" si="30"/>
        <v>2483051.04</v>
      </c>
      <c r="X141" s="657">
        <f t="shared" si="30"/>
        <v>81621</v>
      </c>
      <c r="Y141" s="657">
        <f t="shared" si="30"/>
        <v>2564672.04</v>
      </c>
      <c r="Z141" s="657">
        <f>SUM(Z9:Z140)</f>
        <v>3326640.4600000004</v>
      </c>
      <c r="AA141" s="1386">
        <f>SUM(AA9:AA140)</f>
        <v>4679902.96</v>
      </c>
    </row>
    <row r="142" spans="1:27" s="712" customFormat="1" x14ac:dyDescent="0.25">
      <c r="A142" s="954" t="s">
        <v>320</v>
      </c>
      <c r="B142" s="676"/>
      <c r="C142" s="203"/>
      <c r="D142" s="203"/>
      <c r="E142" s="203"/>
      <c r="F142" s="203"/>
      <c r="G142" s="225"/>
      <c r="H142" s="203"/>
      <c r="I142" s="225"/>
      <c r="J142" s="716"/>
      <c r="K142" s="695"/>
      <c r="L142" s="695"/>
      <c r="M142" s="695"/>
      <c r="N142" s="695"/>
      <c r="O142" s="695"/>
      <c r="P142" s="695"/>
      <c r="Q142" s="695"/>
      <c r="R142" s="695"/>
      <c r="S142" s="695"/>
      <c r="T142" s="695"/>
      <c r="U142" s="695"/>
      <c r="V142" s="695"/>
      <c r="W142" s="695"/>
      <c r="X142" s="716"/>
      <c r="Y142" s="732"/>
      <c r="Z142" s="716"/>
      <c r="AA142" s="1299"/>
    </row>
    <row r="143" spans="1:27" s="712" customFormat="1" x14ac:dyDescent="0.25">
      <c r="A143" s="955" t="s">
        <v>1161</v>
      </c>
      <c r="B143" s="676"/>
      <c r="C143" s="203">
        <v>3600</v>
      </c>
      <c r="D143" s="203"/>
      <c r="E143" s="203">
        <f>-3600</f>
        <v>-3600</v>
      </c>
      <c r="F143" s="203"/>
      <c r="G143" s="225">
        <f t="shared" ref="G143" si="31">SUM(C143:F143)</f>
        <v>0</v>
      </c>
      <c r="H143" s="225">
        <f>G143</f>
        <v>0</v>
      </c>
      <c r="I143" s="225">
        <f>G143</f>
        <v>0</v>
      </c>
      <c r="J143" s="716">
        <f>G143</f>
        <v>0</v>
      </c>
      <c r="K143" s="695"/>
      <c r="L143" s="695"/>
      <c r="M143" s="695"/>
      <c r="N143" s="695"/>
      <c r="O143" s="695"/>
      <c r="P143" s="695"/>
      <c r="Q143" s="695"/>
      <c r="R143" s="695"/>
      <c r="S143" s="695"/>
      <c r="T143" s="695"/>
      <c r="U143" s="695"/>
      <c r="V143" s="695"/>
      <c r="W143" s="997">
        <f t="shared" ref="W143" si="32">K143+L143+M143+N143+O143+P143+Q143+R143</f>
        <v>0</v>
      </c>
      <c r="X143" s="989">
        <f t="shared" ref="X143" si="33">S143</f>
        <v>0</v>
      </c>
      <c r="Y143" s="732">
        <f t="shared" ref="Y143" si="34">W143+X143</f>
        <v>0</v>
      </c>
      <c r="Z143" s="989">
        <f t="shared" ref="Z143" si="35">J143-Y143</f>
        <v>0</v>
      </c>
      <c r="AA143" s="1299">
        <f t="shared" ref="AA143" si="36">G143-Y143</f>
        <v>0</v>
      </c>
    </row>
    <row r="144" spans="1:27" s="712" customFormat="1" x14ac:dyDescent="0.25">
      <c r="A144" s="954" t="s">
        <v>333</v>
      </c>
      <c r="B144" s="676"/>
      <c r="C144" s="657">
        <f>SUM(C143)</f>
        <v>3600</v>
      </c>
      <c r="D144" s="657">
        <f t="shared" ref="D144:E144" si="37">SUM(D143)</f>
        <v>0</v>
      </c>
      <c r="E144" s="657">
        <f t="shared" si="37"/>
        <v>-3600</v>
      </c>
      <c r="F144" s="657">
        <f>SUM(F143)</f>
        <v>0</v>
      </c>
      <c r="G144" s="657">
        <f t="shared" ref="G144:AA144" si="38">SUM(G143)</f>
        <v>0</v>
      </c>
      <c r="H144" s="657">
        <f t="shared" si="38"/>
        <v>0</v>
      </c>
      <c r="I144" s="657">
        <f t="shared" si="38"/>
        <v>0</v>
      </c>
      <c r="J144" s="657">
        <f t="shared" si="38"/>
        <v>0</v>
      </c>
      <c r="K144" s="657">
        <f t="shared" si="38"/>
        <v>0</v>
      </c>
      <c r="L144" s="657">
        <f t="shared" si="38"/>
        <v>0</v>
      </c>
      <c r="M144" s="657">
        <f t="shared" si="38"/>
        <v>0</v>
      </c>
      <c r="N144" s="657">
        <f t="shared" si="38"/>
        <v>0</v>
      </c>
      <c r="O144" s="657">
        <f t="shared" si="38"/>
        <v>0</v>
      </c>
      <c r="P144" s="657">
        <f t="shared" si="38"/>
        <v>0</v>
      </c>
      <c r="Q144" s="657">
        <f t="shared" si="38"/>
        <v>0</v>
      </c>
      <c r="R144" s="657">
        <f t="shared" si="38"/>
        <v>0</v>
      </c>
      <c r="S144" s="657">
        <f t="shared" si="38"/>
        <v>0</v>
      </c>
      <c r="T144" s="657">
        <f t="shared" si="38"/>
        <v>0</v>
      </c>
      <c r="U144" s="657">
        <f t="shared" si="38"/>
        <v>0</v>
      </c>
      <c r="V144" s="657">
        <f t="shared" si="38"/>
        <v>0</v>
      </c>
      <c r="W144" s="997">
        <f t="shared" ref="W144" si="39">K144+L144</f>
        <v>0</v>
      </c>
      <c r="X144" s="989">
        <f t="shared" ref="X144" si="40">M144</f>
        <v>0</v>
      </c>
      <c r="Y144" s="657">
        <f t="shared" si="38"/>
        <v>0</v>
      </c>
      <c r="Z144" s="657">
        <f t="shared" si="38"/>
        <v>0</v>
      </c>
      <c r="AA144" s="1386">
        <f t="shared" si="38"/>
        <v>0</v>
      </c>
    </row>
    <row r="145" spans="1:27" x14ac:dyDescent="0.25">
      <c r="A145" s="254" t="s">
        <v>297</v>
      </c>
      <c r="B145" s="224"/>
      <c r="C145" s="614">
        <f>C141+C144</f>
        <v>6163175</v>
      </c>
      <c r="D145" s="614">
        <f t="shared" ref="D145:E145" si="41">D141+D144</f>
        <v>-105000</v>
      </c>
      <c r="E145" s="614">
        <f t="shared" si="41"/>
        <v>-3600</v>
      </c>
      <c r="F145" s="614">
        <f>F141+F144</f>
        <v>1190000</v>
      </c>
      <c r="G145" s="614">
        <f t="shared" ref="G145:Z145" si="42">G141+G144</f>
        <v>7244575</v>
      </c>
      <c r="H145" s="614">
        <f>H141+H144</f>
        <v>5433431.25</v>
      </c>
      <c r="I145" s="614">
        <f t="shared" si="42"/>
        <v>589131.24999999977</v>
      </c>
      <c r="J145" s="614">
        <f t="shared" si="42"/>
        <v>5891312.5000000019</v>
      </c>
      <c r="K145" s="614">
        <f t="shared" si="42"/>
        <v>16401.48</v>
      </c>
      <c r="L145" s="614">
        <f t="shared" si="42"/>
        <v>110100</v>
      </c>
      <c r="M145" s="614">
        <f t="shared" si="42"/>
        <v>128178.52</v>
      </c>
      <c r="N145" s="614">
        <f>N141+N144</f>
        <v>100473.12</v>
      </c>
      <c r="O145" s="614">
        <f>O141+O144</f>
        <v>368004</v>
      </c>
      <c r="P145" s="614">
        <f t="shared" si="42"/>
        <v>361899</v>
      </c>
      <c r="Q145" s="614">
        <f t="shared" si="42"/>
        <v>552400</v>
      </c>
      <c r="R145" s="614">
        <f t="shared" si="42"/>
        <v>312291.48</v>
      </c>
      <c r="S145" s="614">
        <f t="shared" si="42"/>
        <v>533303.43999999994</v>
      </c>
      <c r="T145" s="614">
        <f t="shared" si="42"/>
        <v>81621</v>
      </c>
      <c r="U145" s="614">
        <f t="shared" si="42"/>
        <v>0</v>
      </c>
      <c r="V145" s="614">
        <f t="shared" si="42"/>
        <v>0</v>
      </c>
      <c r="W145" s="614">
        <f>W141+W144</f>
        <v>2483051.04</v>
      </c>
      <c r="X145" s="614">
        <f t="shared" si="42"/>
        <v>81621</v>
      </c>
      <c r="Y145" s="614">
        <f t="shared" si="42"/>
        <v>2564672.04</v>
      </c>
      <c r="Z145" s="614">
        <f t="shared" si="42"/>
        <v>3326640.4600000004</v>
      </c>
      <c r="AA145" s="614">
        <f>AA141+AA144</f>
        <v>4679902.96</v>
      </c>
    </row>
    <row r="146" spans="1:27" ht="17.25" thickBot="1" x14ac:dyDescent="0.35">
      <c r="A146" s="255" t="s">
        <v>160</v>
      </c>
      <c r="B146" s="256"/>
      <c r="C146" s="658">
        <f>SUM(C145)</f>
        <v>6163175</v>
      </c>
      <c r="D146" s="658"/>
      <c r="E146" s="658">
        <f>SUM(E145)</f>
        <v>-3600</v>
      </c>
      <c r="F146" s="658">
        <f>SUM(F145)</f>
        <v>1190000</v>
      </c>
      <c r="G146" s="658">
        <f t="shared" ref="G146:AA146" si="43">SUM(G145)</f>
        <v>7244575</v>
      </c>
      <c r="H146" s="658">
        <f t="shared" si="43"/>
        <v>5433431.25</v>
      </c>
      <c r="I146" s="658">
        <f t="shared" si="43"/>
        <v>589131.24999999977</v>
      </c>
      <c r="J146" s="658">
        <f t="shared" si="43"/>
        <v>5891312.5000000019</v>
      </c>
      <c r="K146" s="658">
        <f t="shared" si="43"/>
        <v>16401.48</v>
      </c>
      <c r="L146" s="658">
        <f t="shared" si="43"/>
        <v>110100</v>
      </c>
      <c r="M146" s="658">
        <f t="shared" si="43"/>
        <v>128178.52</v>
      </c>
      <c r="N146" s="658">
        <f t="shared" si="43"/>
        <v>100473.12</v>
      </c>
      <c r="O146" s="658">
        <f t="shared" si="43"/>
        <v>368004</v>
      </c>
      <c r="P146" s="658">
        <f t="shared" si="43"/>
        <v>361899</v>
      </c>
      <c r="Q146" s="658">
        <f t="shared" si="43"/>
        <v>552400</v>
      </c>
      <c r="R146" s="658">
        <f t="shared" si="43"/>
        <v>312291.48</v>
      </c>
      <c r="S146" s="658">
        <f t="shared" si="43"/>
        <v>533303.43999999994</v>
      </c>
      <c r="T146" s="658">
        <f t="shared" si="43"/>
        <v>81621</v>
      </c>
      <c r="U146" s="658">
        <f t="shared" si="43"/>
        <v>0</v>
      </c>
      <c r="V146" s="658">
        <f t="shared" si="43"/>
        <v>0</v>
      </c>
      <c r="W146" s="658">
        <f t="shared" si="43"/>
        <v>2483051.04</v>
      </c>
      <c r="X146" s="658">
        <f t="shared" si="43"/>
        <v>81621</v>
      </c>
      <c r="Y146" s="658">
        <f t="shared" si="43"/>
        <v>2564672.04</v>
      </c>
      <c r="Z146" s="658">
        <f t="shared" si="43"/>
        <v>3326640.4600000004</v>
      </c>
      <c r="AA146" s="658">
        <f t="shared" si="43"/>
        <v>4679902.96</v>
      </c>
    </row>
    <row r="147" spans="1:27" ht="15.75" thickTop="1" x14ac:dyDescent="0.25">
      <c r="A147" s="34"/>
      <c r="B147" s="11"/>
      <c r="C147" s="35"/>
      <c r="D147" s="35"/>
      <c r="E147" s="35"/>
      <c r="F147" s="35"/>
      <c r="G147" s="35"/>
      <c r="H147" s="35"/>
      <c r="I147" s="35"/>
      <c r="J147" s="619"/>
    </row>
    <row r="148" spans="1:27" x14ac:dyDescent="0.25">
      <c r="A148" s="21" t="s">
        <v>354</v>
      </c>
      <c r="B148" s="30"/>
      <c r="C148" s="35"/>
      <c r="D148" s="35"/>
      <c r="E148" s="35"/>
      <c r="F148" s="35"/>
      <c r="G148" s="35"/>
      <c r="H148" s="35"/>
      <c r="I148" s="35"/>
      <c r="Z148" s="259" t="s">
        <v>357</v>
      </c>
    </row>
    <row r="150" spans="1:27" x14ac:dyDescent="0.25">
      <c r="B150" s="32"/>
      <c r="C150" s="36"/>
      <c r="D150" s="36"/>
      <c r="E150" s="36"/>
      <c r="F150" s="36"/>
      <c r="G150" s="36"/>
      <c r="H150" s="36"/>
      <c r="I150" s="36"/>
    </row>
    <row r="151" spans="1:27" x14ac:dyDescent="0.25">
      <c r="A151" s="258" t="s">
        <v>355</v>
      </c>
      <c r="B151" s="14"/>
      <c r="C151" s="31"/>
      <c r="D151" s="31"/>
      <c r="E151" s="31"/>
      <c r="F151" s="31"/>
      <c r="G151" s="31"/>
      <c r="H151" s="31"/>
      <c r="I151" s="31"/>
      <c r="Z151" s="260" t="s">
        <v>358</v>
      </c>
    </row>
    <row r="152" spans="1:27" x14ac:dyDescent="0.25">
      <c r="A152" s="259" t="s">
        <v>356</v>
      </c>
      <c r="Z152" s="259" t="s">
        <v>359</v>
      </c>
    </row>
  </sheetData>
  <mergeCells count="3">
    <mergeCell ref="A1:AA1"/>
    <mergeCell ref="A2:AA2"/>
    <mergeCell ref="A3:AA3"/>
  </mergeCells>
  <printOptions horizontalCentered="1" verticalCentered="1" headings="1"/>
  <pageMargins left="0.7" right="0.2" top="0.75" bottom="0.25" header="0.3" footer="0.3"/>
  <pageSetup paperSize="5" scale="65" orientation="landscape" r:id="rId1"/>
  <rowBreaks count="3" manualBreakCount="3">
    <brk id="40" max="16383" man="1"/>
    <brk id="77" max="16383" man="1"/>
    <brk id="114" max="16383" man="1"/>
  </rowBreaks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zoomScaleNormal="100" workbookViewId="0">
      <pane xSplit="1" topLeftCell="B1" activePane="topRight" state="frozen"/>
      <selection activeCell="A13" sqref="A13"/>
      <selection pane="topRight" activeCell="A59" sqref="A59"/>
    </sheetView>
  </sheetViews>
  <sheetFormatPr defaultRowHeight="15" outlineLevelCol="1" x14ac:dyDescent="0.25"/>
  <cols>
    <col min="1" max="1" width="49.7109375" style="951" customWidth="1"/>
    <col min="2" max="2" width="12.7109375" style="951" hidden="1" customWidth="1"/>
    <col min="3" max="5" width="13.28515625" style="951" customWidth="1"/>
    <col min="6" max="6" width="13.28515625" style="951" hidden="1" customWidth="1"/>
    <col min="7" max="7" width="13.28515625" style="951" customWidth="1"/>
    <col min="8" max="8" width="12.7109375" style="708" customWidth="1"/>
    <col min="9" max="20" width="12.7109375" style="708" hidden="1" customWidth="1" outlineLevel="1"/>
    <col min="21" max="21" width="12.7109375" style="708" customWidth="1" collapsed="1"/>
    <col min="22" max="22" width="12.7109375" style="951" customWidth="1"/>
    <col min="23" max="23" width="14.28515625" style="951" customWidth="1"/>
    <col min="24" max="24" width="14" style="951" customWidth="1"/>
    <col min="25" max="25" width="13" style="951" customWidth="1"/>
    <col min="26" max="44" width="9.140625" style="734"/>
    <col min="45" max="16384" width="9.140625" style="951"/>
  </cols>
  <sheetData>
    <row r="1" spans="1:44" x14ac:dyDescent="0.25">
      <c r="A1" s="1432" t="s">
        <v>352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1432"/>
      <c r="M1" s="1432"/>
      <c r="N1" s="1432"/>
      <c r="O1" s="1432"/>
      <c r="P1" s="1432"/>
      <c r="Q1" s="1432"/>
      <c r="R1" s="1432"/>
      <c r="S1" s="1432"/>
      <c r="T1" s="1432"/>
      <c r="U1" s="1432"/>
      <c r="V1" s="1432"/>
      <c r="W1" s="1432"/>
      <c r="X1" s="1432"/>
      <c r="Y1" s="1432"/>
    </row>
    <row r="2" spans="1:44" x14ac:dyDescent="0.25">
      <c r="A2" s="1432" t="s">
        <v>962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1432"/>
      <c r="Y2" s="1432"/>
    </row>
    <row r="3" spans="1:44" ht="15.75" thickBot="1" x14ac:dyDescent="0.3">
      <c r="A3" s="1433" t="str">
        <f>'9997-SPA'!A3:AA3</f>
        <v>For the Period October 1-31, 2021</v>
      </c>
      <c r="B3" s="1433"/>
      <c r="C3" s="1433"/>
      <c r="D3" s="1433"/>
      <c r="E3" s="1433"/>
      <c r="F3" s="1433"/>
      <c r="G3" s="1433"/>
      <c r="H3" s="1433"/>
      <c r="I3" s="1433"/>
      <c r="J3" s="1433"/>
      <c r="K3" s="1433"/>
      <c r="L3" s="1433"/>
      <c r="M3" s="1433"/>
      <c r="N3" s="1433"/>
      <c r="O3" s="1433"/>
      <c r="P3" s="1433"/>
      <c r="Q3" s="1433"/>
      <c r="R3" s="1433"/>
      <c r="S3" s="1433"/>
      <c r="T3" s="1433"/>
      <c r="U3" s="1433"/>
      <c r="V3" s="1433"/>
      <c r="W3" s="1433"/>
      <c r="X3" s="1433"/>
      <c r="Y3" s="1433"/>
    </row>
    <row r="4" spans="1:44" ht="15.75" thickTop="1" x14ac:dyDescent="0.25">
      <c r="A4" s="679" t="s">
        <v>347</v>
      </c>
      <c r="B4" s="679" t="s">
        <v>2</v>
      </c>
      <c r="C4" s="738" t="s">
        <v>134</v>
      </c>
      <c r="D4" s="1073"/>
      <c r="E4" s="738" t="s">
        <v>1</v>
      </c>
      <c r="F4" s="738" t="s">
        <v>316</v>
      </c>
      <c r="G4" s="738" t="s">
        <v>314</v>
      </c>
      <c r="H4" s="738" t="s">
        <v>346</v>
      </c>
      <c r="I4" s="681"/>
      <c r="J4" s="681"/>
      <c r="K4" s="681"/>
      <c r="L4" s="681"/>
      <c r="M4" s="739"/>
      <c r="N4" s="739"/>
      <c r="O4" s="739"/>
      <c r="P4" s="739"/>
      <c r="Q4" s="739"/>
      <c r="R4" s="739"/>
      <c r="S4" s="739"/>
      <c r="T4" s="739"/>
      <c r="U4" s="738" t="s">
        <v>316</v>
      </c>
      <c r="V4" s="738" t="s">
        <v>348</v>
      </c>
      <c r="W4" s="738" t="s">
        <v>1</v>
      </c>
      <c r="X4" s="738" t="s">
        <v>131</v>
      </c>
      <c r="Y4" s="755" t="s">
        <v>131</v>
      </c>
    </row>
    <row r="5" spans="1:44" ht="15.75" thickBot="1" x14ac:dyDescent="0.3">
      <c r="A5" s="729"/>
      <c r="B5" s="729" t="s">
        <v>3</v>
      </c>
      <c r="C5" s="723" t="s">
        <v>351</v>
      </c>
      <c r="D5" s="1101" t="s">
        <v>1406</v>
      </c>
      <c r="E5" s="723" t="s">
        <v>314</v>
      </c>
      <c r="F5" s="723" t="s">
        <v>314</v>
      </c>
      <c r="G5" s="723" t="s">
        <v>315</v>
      </c>
      <c r="H5" s="723" t="s">
        <v>315</v>
      </c>
      <c r="I5" s="723" t="s">
        <v>0</v>
      </c>
      <c r="J5" s="723" t="s">
        <v>120</v>
      </c>
      <c r="K5" s="723" t="s">
        <v>121</v>
      </c>
      <c r="L5" s="723" t="s">
        <v>122</v>
      </c>
      <c r="M5" s="723" t="s">
        <v>123</v>
      </c>
      <c r="N5" s="723" t="s">
        <v>124</v>
      </c>
      <c r="O5" s="723" t="s">
        <v>963</v>
      </c>
      <c r="P5" s="723" t="s">
        <v>964</v>
      </c>
      <c r="Q5" s="723" t="s">
        <v>965</v>
      </c>
      <c r="R5" s="723" t="s">
        <v>966</v>
      </c>
      <c r="S5" s="723" t="s">
        <v>967</v>
      </c>
      <c r="T5" s="723" t="s">
        <v>968</v>
      </c>
      <c r="U5" s="723" t="s">
        <v>317</v>
      </c>
      <c r="V5" s="723" t="s">
        <v>315</v>
      </c>
      <c r="W5" s="723" t="s">
        <v>317</v>
      </c>
      <c r="X5" s="723" t="s">
        <v>314</v>
      </c>
      <c r="Y5" s="752" t="s">
        <v>132</v>
      </c>
    </row>
    <row r="6" spans="1:44" ht="15.75" customHeight="1" thickTop="1" x14ac:dyDescent="0.25">
      <c r="A6" s="685"/>
      <c r="B6" s="740"/>
      <c r="C6" s="1447">
        <v>2014</v>
      </c>
      <c r="D6" s="1143"/>
      <c r="E6" s="1447">
        <v>2014</v>
      </c>
      <c r="F6" s="741"/>
      <c r="G6" s="741"/>
      <c r="H6" s="741"/>
      <c r="I6" s="741"/>
      <c r="J6" s="741"/>
      <c r="K6" s="741"/>
      <c r="L6" s="741"/>
      <c r="M6" s="741"/>
      <c r="N6" s="741"/>
      <c r="O6" s="741"/>
      <c r="P6" s="741"/>
      <c r="Q6" s="741"/>
      <c r="R6" s="741"/>
      <c r="S6" s="741"/>
      <c r="T6" s="741"/>
      <c r="U6" s="741"/>
      <c r="V6" s="741"/>
      <c r="W6" s="741"/>
      <c r="X6" s="741"/>
      <c r="Y6" s="756"/>
      <c r="Z6" s="759"/>
      <c r="AA6" s="759"/>
      <c r="AB6" s="759"/>
      <c r="AC6" s="759"/>
    </row>
    <row r="7" spans="1:44" ht="15.75" customHeight="1" x14ac:dyDescent="0.25">
      <c r="A7" s="711"/>
      <c r="B7" s="721"/>
      <c r="C7" s="1448"/>
      <c r="D7" s="1144"/>
      <c r="E7" s="1448"/>
      <c r="F7" s="722"/>
      <c r="G7" s="722"/>
      <c r="H7" s="722"/>
      <c r="I7" s="722"/>
      <c r="J7" s="722"/>
      <c r="K7" s="722"/>
      <c r="L7" s="722"/>
      <c r="M7" s="722"/>
      <c r="N7" s="722"/>
      <c r="O7" s="722"/>
      <c r="P7" s="722"/>
      <c r="Q7" s="722"/>
      <c r="R7" s="722"/>
      <c r="S7" s="722"/>
      <c r="T7" s="722"/>
      <c r="U7" s="722"/>
      <c r="V7" s="722"/>
      <c r="W7" s="722"/>
      <c r="X7" s="722"/>
      <c r="Y7" s="757"/>
      <c r="Z7" s="759"/>
      <c r="AA7" s="759"/>
      <c r="AB7" s="759"/>
      <c r="AC7" s="759"/>
    </row>
    <row r="8" spans="1:44" ht="15" customHeight="1" x14ac:dyDescent="0.25">
      <c r="A8" s="661" t="s">
        <v>305</v>
      </c>
      <c r="B8" s="904"/>
      <c r="C8" s="662">
        <v>150000</v>
      </c>
      <c r="D8" s="1142"/>
      <c r="E8" s="720">
        <f>SUM(C8)+D8</f>
        <v>150000</v>
      </c>
      <c r="F8" s="720"/>
      <c r="G8" s="720">
        <f>E8</f>
        <v>150000</v>
      </c>
      <c r="H8" s="718">
        <f>E8</f>
        <v>150000</v>
      </c>
      <c r="I8" s="673"/>
      <c r="J8" s="673"/>
      <c r="K8" s="673"/>
      <c r="L8" s="673"/>
      <c r="M8" s="673"/>
      <c r="N8" s="673"/>
      <c r="O8" s="673"/>
      <c r="P8" s="673"/>
      <c r="Q8" s="673"/>
      <c r="R8" s="673"/>
      <c r="S8" s="673"/>
      <c r="T8" s="673"/>
      <c r="U8" s="673">
        <f>I8+J8+K8+L8+M8+N8+O8+P8+Q8</f>
        <v>0</v>
      </c>
      <c r="V8" s="718">
        <f>R8</f>
        <v>0</v>
      </c>
      <c r="W8" s="725">
        <f>U8+V8</f>
        <v>0</v>
      </c>
      <c r="X8" s="718">
        <f>H8-W8</f>
        <v>150000</v>
      </c>
      <c r="Y8" s="746">
        <f>E8-W8</f>
        <v>150000</v>
      </c>
      <c r="Z8" s="759"/>
      <c r="AA8" s="759"/>
      <c r="AB8" s="759"/>
      <c r="AC8" s="759"/>
    </row>
    <row r="9" spans="1:44" s="715" customFormat="1" x14ac:dyDescent="0.25">
      <c r="A9" s="698" t="s">
        <v>304</v>
      </c>
      <c r="B9" s="737"/>
      <c r="C9" s="726">
        <f>SUM(C8:C8)</f>
        <v>150000</v>
      </c>
      <c r="D9" s="170"/>
      <c r="E9" s="726">
        <f t="shared" ref="E9:T9" si="0">SUM(E8:E8)</f>
        <v>150000</v>
      </c>
      <c r="F9" s="726">
        <f t="shared" si="0"/>
        <v>0</v>
      </c>
      <c r="G9" s="726">
        <f t="shared" si="0"/>
        <v>150000</v>
      </c>
      <c r="H9" s="726">
        <f t="shared" si="0"/>
        <v>150000</v>
      </c>
      <c r="I9" s="726">
        <f t="shared" si="0"/>
        <v>0</v>
      </c>
      <c r="J9" s="726">
        <f t="shared" si="0"/>
        <v>0</v>
      </c>
      <c r="K9" s="726">
        <f t="shared" si="0"/>
        <v>0</v>
      </c>
      <c r="L9" s="726">
        <f t="shared" si="0"/>
        <v>0</v>
      </c>
      <c r="M9" s="726">
        <f t="shared" si="0"/>
        <v>0</v>
      </c>
      <c r="N9" s="726">
        <f t="shared" si="0"/>
        <v>0</v>
      </c>
      <c r="O9" s="726">
        <f t="shared" si="0"/>
        <v>0</v>
      </c>
      <c r="P9" s="726">
        <f t="shared" si="0"/>
        <v>0</v>
      </c>
      <c r="Q9" s="726">
        <f t="shared" si="0"/>
        <v>0</v>
      </c>
      <c r="R9" s="726">
        <f t="shared" si="0"/>
        <v>0</v>
      </c>
      <c r="S9" s="726">
        <f t="shared" si="0"/>
        <v>0</v>
      </c>
      <c r="T9" s="726">
        <f t="shared" si="0"/>
        <v>0</v>
      </c>
      <c r="U9" s="726">
        <f>SUM(U8:U8)</f>
        <v>0</v>
      </c>
      <c r="V9" s="726">
        <f t="shared" ref="V9:Y9" si="1">SUM(V8:V8)</f>
        <v>0</v>
      </c>
      <c r="W9" s="726">
        <f t="shared" si="1"/>
        <v>0</v>
      </c>
      <c r="X9" s="726">
        <f t="shared" si="1"/>
        <v>150000</v>
      </c>
      <c r="Y9" s="726">
        <f t="shared" si="1"/>
        <v>150000</v>
      </c>
      <c r="Z9" s="761"/>
      <c r="AA9" s="761"/>
      <c r="AB9" s="761"/>
      <c r="AC9" s="748"/>
      <c r="AD9" s="762"/>
      <c r="AE9" s="762"/>
      <c r="AF9" s="435"/>
      <c r="AG9" s="435"/>
      <c r="AH9" s="435"/>
      <c r="AI9" s="435"/>
      <c r="AJ9" s="435"/>
      <c r="AK9" s="435"/>
      <c r="AL9" s="435"/>
      <c r="AM9" s="435"/>
      <c r="AN9" s="435"/>
      <c r="AO9" s="435"/>
      <c r="AP9" s="435"/>
      <c r="AQ9" s="435"/>
      <c r="AR9" s="435"/>
    </row>
    <row r="10" spans="1:44" ht="15" customHeight="1" x14ac:dyDescent="0.25">
      <c r="A10" s="684"/>
      <c r="B10" s="683"/>
      <c r="C10" s="1445">
        <v>2015</v>
      </c>
      <c r="D10" s="1145"/>
      <c r="E10" s="1445">
        <v>2015</v>
      </c>
      <c r="F10" s="677"/>
      <c r="G10" s="720"/>
      <c r="H10" s="718"/>
      <c r="I10" s="673"/>
      <c r="J10" s="673"/>
      <c r="K10" s="673"/>
      <c r="L10" s="673"/>
      <c r="M10" s="673"/>
      <c r="N10" s="673"/>
      <c r="O10" s="673"/>
      <c r="P10" s="673"/>
      <c r="Q10" s="673"/>
      <c r="R10" s="673"/>
      <c r="S10" s="673"/>
      <c r="T10" s="673"/>
      <c r="U10" s="673"/>
      <c r="V10" s="718"/>
      <c r="W10" s="725"/>
      <c r="X10" s="718"/>
      <c r="Y10" s="746"/>
      <c r="Z10" s="759"/>
      <c r="AA10" s="759"/>
      <c r="AB10" s="759"/>
      <c r="AC10" s="760"/>
    </row>
    <row r="11" spans="1:44" ht="15" customHeight="1" x14ac:dyDescent="0.25">
      <c r="A11" s="684"/>
      <c r="B11" s="683"/>
      <c r="C11" s="1446"/>
      <c r="D11" s="1095"/>
      <c r="E11" s="1446"/>
      <c r="F11" s="677"/>
      <c r="G11" s="720"/>
      <c r="H11" s="718"/>
      <c r="I11" s="673"/>
      <c r="J11" s="673"/>
      <c r="K11" s="673"/>
      <c r="L11" s="673"/>
      <c r="M11" s="673"/>
      <c r="N11" s="673"/>
      <c r="O11" s="673"/>
      <c r="P11" s="673"/>
      <c r="Q11" s="673"/>
      <c r="R11" s="673"/>
      <c r="S11" s="673"/>
      <c r="T11" s="673"/>
      <c r="U11" s="673"/>
      <c r="V11" s="718"/>
      <c r="W11" s="725"/>
      <c r="X11" s="718"/>
      <c r="Y11" s="746"/>
      <c r="Z11" s="759"/>
      <c r="AA11" s="759"/>
      <c r="AB11" s="759"/>
      <c r="AC11" s="760"/>
    </row>
    <row r="12" spans="1:44" ht="26.25" x14ac:dyDescent="0.25">
      <c r="A12" s="690" t="s">
        <v>306</v>
      </c>
      <c r="B12" s="676"/>
      <c r="C12" s="662">
        <v>102000</v>
      </c>
      <c r="D12" s="1142"/>
      <c r="E12" s="720">
        <f>SUM(C12)+D12</f>
        <v>102000</v>
      </c>
      <c r="F12" s="720"/>
      <c r="G12" s="720">
        <f>E12</f>
        <v>102000</v>
      </c>
      <c r="H12" s="718">
        <f>E12</f>
        <v>102000</v>
      </c>
      <c r="I12" s="673"/>
      <c r="J12" s="673"/>
      <c r="K12" s="673"/>
      <c r="L12" s="673"/>
      <c r="M12" s="673"/>
      <c r="N12" s="673"/>
      <c r="O12" s="673"/>
      <c r="P12" s="673"/>
      <c r="Q12" s="673"/>
      <c r="R12" s="673"/>
      <c r="S12" s="673"/>
      <c r="T12" s="673"/>
      <c r="U12" s="673">
        <f t="shared" ref="U12:U18" si="2">I12+J12+K12+L12+M12+N12+O12+P12+Q12</f>
        <v>0</v>
      </c>
      <c r="V12" s="718">
        <f t="shared" ref="V12:V18" si="3">R12</f>
        <v>0</v>
      </c>
      <c r="W12" s="725">
        <f>U12+V12</f>
        <v>0</v>
      </c>
      <c r="X12" s="718">
        <f>H12-W12</f>
        <v>102000</v>
      </c>
      <c r="Y12" s="746">
        <f>E12-W12</f>
        <v>102000</v>
      </c>
      <c r="Z12" s="759"/>
      <c r="AA12" s="759"/>
      <c r="AB12" s="759"/>
      <c r="AC12" s="760"/>
    </row>
    <row r="13" spans="1:44" x14ac:dyDescent="0.25">
      <c r="A13" s="699" t="s">
        <v>304</v>
      </c>
      <c r="B13" s="676"/>
      <c r="C13" s="726">
        <f>SUM(C12)</f>
        <v>102000</v>
      </c>
      <c r="D13" s="170"/>
      <c r="E13" s="726">
        <f t="shared" ref="E13:Y13" si="4">SUM(E12)</f>
        <v>102000</v>
      </c>
      <c r="F13" s="726">
        <f t="shared" si="4"/>
        <v>0</v>
      </c>
      <c r="G13" s="726">
        <f t="shared" si="4"/>
        <v>102000</v>
      </c>
      <c r="H13" s="726">
        <f t="shared" si="4"/>
        <v>102000</v>
      </c>
      <c r="I13" s="726">
        <f t="shared" si="4"/>
        <v>0</v>
      </c>
      <c r="J13" s="726">
        <f t="shared" si="4"/>
        <v>0</v>
      </c>
      <c r="K13" s="726">
        <f t="shared" si="4"/>
        <v>0</v>
      </c>
      <c r="L13" s="726">
        <f t="shared" si="4"/>
        <v>0</v>
      </c>
      <c r="M13" s="726">
        <f t="shared" si="4"/>
        <v>0</v>
      </c>
      <c r="N13" s="726">
        <f t="shared" si="4"/>
        <v>0</v>
      </c>
      <c r="O13" s="726">
        <f t="shared" si="4"/>
        <v>0</v>
      </c>
      <c r="P13" s="726">
        <f t="shared" si="4"/>
        <v>0</v>
      </c>
      <c r="Q13" s="726">
        <f t="shared" si="4"/>
        <v>0</v>
      </c>
      <c r="R13" s="726">
        <f t="shared" si="4"/>
        <v>0</v>
      </c>
      <c r="S13" s="726">
        <f t="shared" si="4"/>
        <v>0</v>
      </c>
      <c r="T13" s="726">
        <f t="shared" si="4"/>
        <v>0</v>
      </c>
      <c r="U13" s="673">
        <f t="shared" si="2"/>
        <v>0</v>
      </c>
      <c r="V13" s="718">
        <f t="shared" si="3"/>
        <v>0</v>
      </c>
      <c r="W13" s="726">
        <f t="shared" si="4"/>
        <v>0</v>
      </c>
      <c r="X13" s="726">
        <f t="shared" si="4"/>
        <v>102000</v>
      </c>
      <c r="Y13" s="726">
        <f t="shared" si="4"/>
        <v>102000</v>
      </c>
      <c r="Z13" s="758"/>
      <c r="AA13" s="758"/>
      <c r="AB13" s="758"/>
      <c r="AC13" s="748"/>
      <c r="AD13" s="747"/>
      <c r="AE13" s="747"/>
    </row>
    <row r="14" spans="1:44" ht="15.75" x14ac:dyDescent="0.25">
      <c r="A14" s="689"/>
      <c r="B14" s="676"/>
      <c r="C14" s="1445">
        <v>2017</v>
      </c>
      <c r="D14" s="1145"/>
      <c r="E14" s="1445">
        <v>2017</v>
      </c>
      <c r="F14" s="720"/>
      <c r="G14" s="720"/>
      <c r="H14" s="718"/>
      <c r="I14" s="673"/>
      <c r="J14" s="673"/>
      <c r="K14" s="673"/>
      <c r="L14" s="673"/>
      <c r="M14" s="673"/>
      <c r="N14" s="673"/>
      <c r="O14" s="673"/>
      <c r="P14" s="673"/>
      <c r="Q14" s="673"/>
      <c r="R14" s="673"/>
      <c r="S14" s="673"/>
      <c r="T14" s="673"/>
      <c r="U14" s="673">
        <f t="shared" si="2"/>
        <v>0</v>
      </c>
      <c r="V14" s="718">
        <f t="shared" si="3"/>
        <v>0</v>
      </c>
      <c r="W14" s="725"/>
      <c r="X14" s="718"/>
      <c r="Y14" s="746"/>
      <c r="Z14" s="759"/>
      <c r="AA14" s="759"/>
      <c r="AB14" s="759"/>
      <c r="AC14" s="760"/>
    </row>
    <row r="15" spans="1:44" ht="15" customHeight="1" x14ac:dyDescent="0.25">
      <c r="A15" s="684"/>
      <c r="B15" s="676"/>
      <c r="C15" s="1446"/>
      <c r="D15" s="1095"/>
      <c r="E15" s="1446"/>
      <c r="F15" s="720"/>
      <c r="G15" s="720"/>
      <c r="H15" s="718"/>
      <c r="I15" s="673"/>
      <c r="J15" s="673"/>
      <c r="K15" s="673"/>
      <c r="L15" s="673"/>
      <c r="M15" s="673"/>
      <c r="N15" s="673"/>
      <c r="O15" s="673"/>
      <c r="P15" s="673"/>
      <c r="Q15" s="673"/>
      <c r="R15" s="673"/>
      <c r="S15" s="673"/>
      <c r="T15" s="673"/>
      <c r="U15" s="673">
        <f t="shared" si="2"/>
        <v>0</v>
      </c>
      <c r="V15" s="718">
        <f t="shared" si="3"/>
        <v>0</v>
      </c>
      <c r="W15" s="725"/>
      <c r="X15" s="718"/>
      <c r="Y15" s="746"/>
      <c r="Z15" s="759"/>
      <c r="AA15" s="759"/>
      <c r="AB15" s="759"/>
      <c r="AC15" s="760"/>
    </row>
    <row r="16" spans="1:44" x14ac:dyDescent="0.25">
      <c r="A16" s="663" t="s">
        <v>308</v>
      </c>
      <c r="B16" s="676"/>
      <c r="C16" s="662">
        <v>68000</v>
      </c>
      <c r="D16" s="1142"/>
      <c r="E16" s="720">
        <f>SUM(C16)+D16</f>
        <v>68000</v>
      </c>
      <c r="F16" s="720"/>
      <c r="G16" s="720">
        <f t="shared" ref="G16:G18" si="5">E16</f>
        <v>68000</v>
      </c>
      <c r="H16" s="718">
        <f>E16</f>
        <v>68000</v>
      </c>
      <c r="I16" s="673"/>
      <c r="J16" s="673"/>
      <c r="K16" s="673"/>
      <c r="L16" s="673"/>
      <c r="M16" s="673"/>
      <c r="N16" s="673"/>
      <c r="O16" s="673"/>
      <c r="P16" s="673"/>
      <c r="Q16" s="673"/>
      <c r="R16" s="673"/>
      <c r="S16" s="673"/>
      <c r="T16" s="673"/>
      <c r="U16" s="673">
        <f t="shared" si="2"/>
        <v>0</v>
      </c>
      <c r="V16" s="718">
        <f t="shared" si="3"/>
        <v>0</v>
      </c>
      <c r="W16" s="725">
        <f t="shared" ref="W16:W18" si="6">U16+V16</f>
        <v>0</v>
      </c>
      <c r="X16" s="718">
        <f t="shared" ref="X16:X18" si="7">H16-W16</f>
        <v>68000</v>
      </c>
      <c r="Y16" s="746">
        <f>E16-W16</f>
        <v>68000</v>
      </c>
      <c r="Z16" s="759"/>
      <c r="AA16" s="759"/>
      <c r="AB16" s="759"/>
      <c r="AC16" s="760"/>
    </row>
    <row r="17" spans="1:44" ht="26.25" x14ac:dyDescent="0.25">
      <c r="A17" s="663" t="s">
        <v>309</v>
      </c>
      <c r="B17" s="676"/>
      <c r="C17" s="662">
        <v>75000</v>
      </c>
      <c r="D17" s="1141"/>
      <c r="E17" s="720">
        <f>SUM(C17)+D17</f>
        <v>75000</v>
      </c>
      <c r="F17" s="720"/>
      <c r="G17" s="720">
        <f t="shared" si="5"/>
        <v>75000</v>
      </c>
      <c r="H17" s="718">
        <f>E17</f>
        <v>75000</v>
      </c>
      <c r="I17" s="673"/>
      <c r="J17" s="673"/>
      <c r="K17" s="673"/>
      <c r="L17" s="673"/>
      <c r="M17" s="673"/>
      <c r="N17" s="673"/>
      <c r="O17" s="673"/>
      <c r="P17" s="673"/>
      <c r="Q17" s="673"/>
      <c r="R17" s="673"/>
      <c r="S17" s="673"/>
      <c r="T17" s="673"/>
      <c r="U17" s="673">
        <f t="shared" si="2"/>
        <v>0</v>
      </c>
      <c r="V17" s="718">
        <f t="shared" si="3"/>
        <v>0</v>
      </c>
      <c r="W17" s="725">
        <f t="shared" si="6"/>
        <v>0</v>
      </c>
      <c r="X17" s="718">
        <f t="shared" si="7"/>
        <v>75000</v>
      </c>
      <c r="Y17" s="746">
        <f>E17-W17</f>
        <v>75000</v>
      </c>
      <c r="Z17" s="759"/>
      <c r="AA17" s="759"/>
      <c r="AB17" s="759"/>
      <c r="AC17" s="760"/>
    </row>
    <row r="18" spans="1:44" x14ac:dyDescent="0.25">
      <c r="A18" s="663" t="s">
        <v>310</v>
      </c>
      <c r="B18" s="676"/>
      <c r="C18" s="662">
        <v>540000</v>
      </c>
      <c r="D18" s="1141"/>
      <c r="E18" s="720">
        <f>SUM(C18)+D18</f>
        <v>540000</v>
      </c>
      <c r="F18" s="720"/>
      <c r="G18" s="720">
        <f t="shared" si="5"/>
        <v>540000</v>
      </c>
      <c r="H18" s="718">
        <f>E18</f>
        <v>540000</v>
      </c>
      <c r="I18" s="673"/>
      <c r="J18" s="673"/>
      <c r="K18" s="673"/>
      <c r="L18" s="673"/>
      <c r="M18" s="673"/>
      <c r="N18" s="673"/>
      <c r="O18" s="673"/>
      <c r="P18" s="673">
        <v>501000</v>
      </c>
      <c r="Q18" s="673"/>
      <c r="R18" s="673"/>
      <c r="S18" s="673"/>
      <c r="T18" s="673"/>
      <c r="U18" s="673">
        <f t="shared" si="2"/>
        <v>501000</v>
      </c>
      <c r="V18" s="718">
        <f t="shared" si="3"/>
        <v>0</v>
      </c>
      <c r="W18" s="725">
        <f t="shared" si="6"/>
        <v>501000</v>
      </c>
      <c r="X18" s="718">
        <f t="shared" si="7"/>
        <v>39000</v>
      </c>
      <c r="Y18" s="746">
        <f>E18-W18</f>
        <v>39000</v>
      </c>
      <c r="Z18" s="759"/>
      <c r="AA18" s="759"/>
      <c r="AB18" s="759"/>
      <c r="AC18" s="760"/>
    </row>
    <row r="19" spans="1:44" x14ac:dyDescent="0.25">
      <c r="A19" s="698" t="s">
        <v>304</v>
      </c>
      <c r="B19" s="676"/>
      <c r="C19" s="726">
        <f>SUM(C16:C18)</f>
        <v>683000</v>
      </c>
      <c r="D19" s="726">
        <f t="shared" ref="D19:Y19" si="8">SUM(D16:D18)</f>
        <v>0</v>
      </c>
      <c r="E19" s="726">
        <f t="shared" si="8"/>
        <v>683000</v>
      </c>
      <c r="F19" s="726">
        <f t="shared" si="8"/>
        <v>0</v>
      </c>
      <c r="G19" s="726">
        <f t="shared" si="8"/>
        <v>683000</v>
      </c>
      <c r="H19" s="726">
        <f t="shared" si="8"/>
        <v>683000</v>
      </c>
      <c r="I19" s="726">
        <f t="shared" si="8"/>
        <v>0</v>
      </c>
      <c r="J19" s="726">
        <f t="shared" si="8"/>
        <v>0</v>
      </c>
      <c r="K19" s="726">
        <f t="shared" si="8"/>
        <v>0</v>
      </c>
      <c r="L19" s="726">
        <f t="shared" si="8"/>
        <v>0</v>
      </c>
      <c r="M19" s="726">
        <f t="shared" si="8"/>
        <v>0</v>
      </c>
      <c r="N19" s="726">
        <f t="shared" si="8"/>
        <v>0</v>
      </c>
      <c r="O19" s="726">
        <f t="shared" si="8"/>
        <v>0</v>
      </c>
      <c r="P19" s="726">
        <f t="shared" si="8"/>
        <v>501000</v>
      </c>
      <c r="Q19" s="726">
        <f t="shared" si="8"/>
        <v>0</v>
      </c>
      <c r="R19" s="726">
        <f t="shared" si="8"/>
        <v>0</v>
      </c>
      <c r="S19" s="726">
        <f t="shared" si="8"/>
        <v>0</v>
      </c>
      <c r="T19" s="726">
        <f t="shared" si="8"/>
        <v>0</v>
      </c>
      <c r="U19" s="726">
        <f t="shared" si="8"/>
        <v>501000</v>
      </c>
      <c r="V19" s="726">
        <f t="shared" si="8"/>
        <v>0</v>
      </c>
      <c r="W19" s="726">
        <f t="shared" si="8"/>
        <v>501000</v>
      </c>
      <c r="X19" s="726">
        <f t="shared" si="8"/>
        <v>182000</v>
      </c>
      <c r="Y19" s="726">
        <f t="shared" si="8"/>
        <v>182000</v>
      </c>
      <c r="Z19" s="758"/>
      <c r="AA19" s="758"/>
      <c r="AB19" s="758"/>
      <c r="AC19" s="748"/>
      <c r="AD19" s="747"/>
      <c r="AE19" s="747"/>
    </row>
    <row r="20" spans="1:44" ht="15.75" x14ac:dyDescent="0.25">
      <c r="A20" s="684"/>
      <c r="B20" s="676"/>
      <c r="C20" s="1445">
        <v>2018</v>
      </c>
      <c r="D20" s="1305"/>
      <c r="E20" s="1445">
        <v>2018</v>
      </c>
      <c r="F20" s="666"/>
      <c r="G20" s="720"/>
      <c r="H20" s="718"/>
      <c r="I20" s="673"/>
      <c r="J20" s="673"/>
      <c r="K20" s="673"/>
      <c r="L20" s="673"/>
      <c r="M20" s="673"/>
      <c r="N20" s="673"/>
      <c r="O20" s="673"/>
      <c r="P20" s="673"/>
      <c r="Q20" s="673"/>
      <c r="R20" s="673"/>
      <c r="S20" s="673"/>
      <c r="T20" s="673"/>
      <c r="U20" s="673"/>
      <c r="V20" s="718"/>
      <c r="W20" s="725"/>
      <c r="X20" s="718"/>
      <c r="Y20" s="746"/>
      <c r="Z20" s="759"/>
      <c r="AA20" s="759"/>
      <c r="AB20" s="759"/>
      <c r="AC20" s="760"/>
    </row>
    <row r="21" spans="1:44" ht="15.75" x14ac:dyDescent="0.25">
      <c r="A21" s="660"/>
      <c r="B21" s="676"/>
      <c r="C21" s="1446"/>
      <c r="D21" s="1306"/>
      <c r="E21" s="1446"/>
      <c r="F21" s="666"/>
      <c r="G21" s="720"/>
      <c r="H21" s="718"/>
      <c r="I21" s="673"/>
      <c r="J21" s="673"/>
      <c r="K21" s="673"/>
      <c r="L21" s="673"/>
      <c r="M21" s="673"/>
      <c r="N21" s="673"/>
      <c r="O21" s="673"/>
      <c r="P21" s="673"/>
      <c r="Q21" s="673"/>
      <c r="R21" s="673"/>
      <c r="S21" s="673"/>
      <c r="T21" s="673"/>
      <c r="U21" s="673"/>
      <c r="V21" s="718"/>
      <c r="W21" s="718"/>
      <c r="X21" s="718"/>
      <c r="Y21" s="746"/>
      <c r="Z21" s="759"/>
      <c r="AA21" s="759"/>
      <c r="AB21" s="759"/>
      <c r="AC21" s="760"/>
    </row>
    <row r="22" spans="1:44" s="382" customFormat="1" ht="26.25" x14ac:dyDescent="0.25">
      <c r="A22" s="1091" t="s">
        <v>307</v>
      </c>
      <c r="B22" s="683"/>
      <c r="C22" s="1092">
        <v>330455.12</v>
      </c>
      <c r="D22" s="1142"/>
      <c r="E22" s="720">
        <f>SUM(C22)+D22</f>
        <v>330455.12</v>
      </c>
      <c r="F22" s="677"/>
      <c r="G22" s="677">
        <f t="shared" ref="G22:G28" si="9">E22</f>
        <v>330455.12</v>
      </c>
      <c r="H22" s="381">
        <f>E22</f>
        <v>330455.12</v>
      </c>
      <c r="I22" s="746"/>
      <c r="J22" s="746"/>
      <c r="K22" s="746">
        <v>18900</v>
      </c>
      <c r="L22" s="746">
        <v>176505</v>
      </c>
      <c r="M22" s="746">
        <f>19600+9300</f>
        <v>28900</v>
      </c>
      <c r="N22" s="746">
        <v>27300</v>
      </c>
      <c r="O22" s="746"/>
      <c r="P22" s="746"/>
      <c r="Q22" s="746"/>
      <c r="R22" s="746"/>
      <c r="S22" s="746"/>
      <c r="T22" s="746"/>
      <c r="U22" s="673">
        <f t="shared" ref="U22:U28" si="10">I22+J22+K22+L22+M22+N22+O22+P22+Q22</f>
        <v>251605</v>
      </c>
      <c r="V22" s="718">
        <f t="shared" ref="V22:V28" si="11">R22</f>
        <v>0</v>
      </c>
      <c r="W22" s="718">
        <f t="shared" ref="W22:W28" si="12">U22+V22</f>
        <v>251605</v>
      </c>
      <c r="X22" s="381">
        <f t="shared" ref="X22:X28" si="13">H22-W22</f>
        <v>78850.12</v>
      </c>
      <c r="Y22" s="746">
        <f>E22-W22</f>
        <v>78850.12</v>
      </c>
      <c r="Z22" s="759"/>
      <c r="AA22" s="759" t="s">
        <v>1186</v>
      </c>
      <c r="AB22" s="759"/>
      <c r="AC22" s="764"/>
      <c r="AD22" s="759"/>
      <c r="AE22" s="759"/>
      <c r="AF22" s="759"/>
      <c r="AG22" s="759"/>
      <c r="AH22" s="759"/>
      <c r="AI22" s="759"/>
      <c r="AJ22" s="759"/>
      <c r="AK22" s="759"/>
      <c r="AL22" s="759"/>
      <c r="AM22" s="759"/>
      <c r="AN22" s="759"/>
      <c r="AO22" s="759"/>
      <c r="AP22" s="759"/>
      <c r="AQ22" s="759"/>
      <c r="AR22" s="759"/>
    </row>
    <row r="23" spans="1:44" s="382" customFormat="1" ht="15" customHeight="1" x14ac:dyDescent="0.25">
      <c r="A23" s="1093"/>
      <c r="B23" s="1094"/>
      <c r="C23" s="1095">
        <v>2019</v>
      </c>
      <c r="D23" s="1095"/>
      <c r="E23" s="1095">
        <v>2019</v>
      </c>
      <c r="F23" s="692"/>
      <c r="G23" s="677"/>
      <c r="H23" s="381"/>
      <c r="I23" s="692"/>
      <c r="J23" s="692"/>
      <c r="K23" s="691"/>
      <c r="L23" s="691"/>
      <c r="M23" s="691"/>
      <c r="N23" s="691"/>
      <c r="O23" s="691"/>
      <c r="P23" s="691"/>
      <c r="Q23" s="691"/>
      <c r="R23" s="691"/>
      <c r="S23" s="691"/>
      <c r="T23" s="691"/>
      <c r="U23" s="673">
        <f t="shared" si="10"/>
        <v>0</v>
      </c>
      <c r="V23" s="718">
        <f t="shared" si="11"/>
        <v>0</v>
      </c>
      <c r="W23" s="718">
        <f t="shared" si="12"/>
        <v>0</v>
      </c>
      <c r="X23" s="381"/>
      <c r="Y23" s="746"/>
      <c r="Z23" s="759"/>
      <c r="AA23" s="759"/>
      <c r="AB23" s="759"/>
      <c r="AC23" s="751"/>
      <c r="AD23" s="759"/>
      <c r="AE23" s="759"/>
      <c r="AF23" s="759"/>
      <c r="AG23" s="759"/>
      <c r="AH23" s="759"/>
      <c r="AI23" s="759"/>
      <c r="AJ23" s="759"/>
      <c r="AK23" s="759"/>
      <c r="AL23" s="759"/>
      <c r="AM23" s="759"/>
      <c r="AN23" s="759"/>
      <c r="AO23" s="759"/>
      <c r="AP23" s="759"/>
      <c r="AQ23" s="759"/>
      <c r="AR23" s="759"/>
    </row>
    <row r="24" spans="1:44" s="382" customFormat="1" ht="26.25" x14ac:dyDescent="0.25">
      <c r="A24" s="1091" t="s">
        <v>311</v>
      </c>
      <c r="B24" s="1094"/>
      <c r="C24" s="746">
        <v>169253.01</v>
      </c>
      <c r="D24" s="746"/>
      <c r="E24" s="720">
        <f>SUM(C24)+D24</f>
        <v>169253.01</v>
      </c>
      <c r="F24" s="677"/>
      <c r="G24" s="677">
        <f t="shared" si="9"/>
        <v>169253.01</v>
      </c>
      <c r="H24" s="381">
        <f>E24</f>
        <v>169253.01</v>
      </c>
      <c r="I24" s="692"/>
      <c r="J24" s="692"/>
      <c r="K24" s="692">
        <f>10500+13490+4000+6900</f>
        <v>34890</v>
      </c>
      <c r="L24" s="691"/>
      <c r="M24" s="691">
        <v>21000</v>
      </c>
      <c r="N24" s="691"/>
      <c r="O24" s="691"/>
      <c r="P24" s="691"/>
      <c r="Q24" s="691"/>
      <c r="R24" s="691"/>
      <c r="S24" s="691"/>
      <c r="T24" s="691"/>
      <c r="U24" s="673">
        <f t="shared" si="10"/>
        <v>55890</v>
      </c>
      <c r="V24" s="718">
        <f t="shared" si="11"/>
        <v>0</v>
      </c>
      <c r="W24" s="718">
        <f t="shared" si="12"/>
        <v>55890</v>
      </c>
      <c r="X24" s="381">
        <f t="shared" si="13"/>
        <v>113363.01000000001</v>
      </c>
      <c r="Y24" s="746">
        <f>E24-W24</f>
        <v>113363.01000000001</v>
      </c>
      <c r="Z24" s="759"/>
      <c r="AA24" s="759"/>
      <c r="AB24" s="759"/>
      <c r="AC24" s="751"/>
      <c r="AD24" s="759"/>
      <c r="AE24" s="759"/>
      <c r="AF24" s="759"/>
      <c r="AG24" s="759"/>
      <c r="AH24" s="759"/>
      <c r="AI24" s="759"/>
      <c r="AJ24" s="759"/>
      <c r="AK24" s="759"/>
      <c r="AL24" s="759"/>
      <c r="AM24" s="759"/>
      <c r="AN24" s="759"/>
      <c r="AO24" s="759"/>
      <c r="AP24" s="759"/>
      <c r="AQ24" s="759"/>
      <c r="AR24" s="759"/>
    </row>
    <row r="25" spans="1:44" s="382" customFormat="1" ht="32.25" customHeight="1" x14ac:dyDescent="0.25">
      <c r="A25" s="1187" t="s">
        <v>312</v>
      </c>
      <c r="B25" s="1094"/>
      <c r="C25" s="746">
        <v>125413.75</v>
      </c>
      <c r="D25" s="746">
        <f>-125413.75</f>
        <v>-125413.75</v>
      </c>
      <c r="E25" s="677">
        <f>SUM(C25)+D25</f>
        <v>0</v>
      </c>
      <c r="F25" s="677"/>
      <c r="G25" s="677">
        <f t="shared" si="9"/>
        <v>0</v>
      </c>
      <c r="H25" s="381">
        <f>E25</f>
        <v>0</v>
      </c>
      <c r="I25" s="692"/>
      <c r="J25" s="692"/>
      <c r="K25" s="691"/>
      <c r="L25" s="691"/>
      <c r="M25" s="691"/>
      <c r="N25" s="691"/>
      <c r="O25" s="691"/>
      <c r="P25" s="691"/>
      <c r="Q25" s="691"/>
      <c r="R25" s="691"/>
      <c r="S25" s="691"/>
      <c r="T25" s="691"/>
      <c r="U25" s="673">
        <f t="shared" si="10"/>
        <v>0</v>
      </c>
      <c r="V25" s="718">
        <f t="shared" si="11"/>
        <v>0</v>
      </c>
      <c r="W25" s="718">
        <f t="shared" si="12"/>
        <v>0</v>
      </c>
      <c r="X25" s="381">
        <f t="shared" si="13"/>
        <v>0</v>
      </c>
      <c r="Y25" s="1251">
        <f>E25-W25</f>
        <v>0</v>
      </c>
      <c r="Z25" s="759"/>
      <c r="AA25" s="759"/>
      <c r="AB25" s="759"/>
      <c r="AC25" s="750"/>
      <c r="AD25" s="759"/>
      <c r="AE25" s="759"/>
      <c r="AF25" s="759"/>
      <c r="AG25" s="759"/>
      <c r="AH25" s="759"/>
      <c r="AI25" s="759"/>
      <c r="AJ25" s="759"/>
      <c r="AK25" s="759"/>
      <c r="AL25" s="759"/>
      <c r="AM25" s="759"/>
      <c r="AN25" s="759"/>
      <c r="AO25" s="759"/>
      <c r="AP25" s="759"/>
      <c r="AQ25" s="759"/>
      <c r="AR25" s="759"/>
    </row>
    <row r="26" spans="1:44" x14ac:dyDescent="0.25">
      <c r="A26" s="703" t="s">
        <v>313</v>
      </c>
      <c r="B26" s="688"/>
      <c r="C26" s="746">
        <v>48726.5</v>
      </c>
      <c r="D26" s="746">
        <f>-48726.5</f>
        <v>-48726.5</v>
      </c>
      <c r="E26" s="720">
        <f>SUM(C26)+D26</f>
        <v>0</v>
      </c>
      <c r="F26" s="720"/>
      <c r="G26" s="720">
        <f t="shared" si="9"/>
        <v>0</v>
      </c>
      <c r="H26" s="718">
        <f>E26</f>
        <v>0</v>
      </c>
      <c r="I26" s="692"/>
      <c r="J26" s="692"/>
      <c r="K26" s="691"/>
      <c r="L26" s="691"/>
      <c r="M26" s="691"/>
      <c r="N26" s="691"/>
      <c r="O26" s="691"/>
      <c r="P26" s="691"/>
      <c r="Q26" s="691"/>
      <c r="R26" s="691"/>
      <c r="S26" s="691"/>
      <c r="T26" s="691"/>
      <c r="U26" s="673">
        <f t="shared" si="10"/>
        <v>0</v>
      </c>
      <c r="V26" s="718">
        <f t="shared" si="11"/>
        <v>0</v>
      </c>
      <c r="W26" s="718">
        <f t="shared" si="12"/>
        <v>0</v>
      </c>
      <c r="X26" s="718">
        <f t="shared" si="13"/>
        <v>0</v>
      </c>
      <c r="Y26" s="1251">
        <f>E26-W26</f>
        <v>0</v>
      </c>
      <c r="Z26" s="759"/>
      <c r="AA26" s="763"/>
      <c r="AB26" s="759"/>
      <c r="AC26" s="750"/>
    </row>
    <row r="27" spans="1:44" x14ac:dyDescent="0.25">
      <c r="A27" s="674" t="s">
        <v>1183</v>
      </c>
      <c r="B27" s="688"/>
      <c r="C27" s="673">
        <v>102590.8</v>
      </c>
      <c r="D27" s="673"/>
      <c r="E27" s="720">
        <f>SUM(C27)+D27</f>
        <v>102590.8</v>
      </c>
      <c r="F27" s="720"/>
      <c r="G27" s="720">
        <f t="shared" si="9"/>
        <v>102590.8</v>
      </c>
      <c r="H27" s="718">
        <f>E27</f>
        <v>102590.8</v>
      </c>
      <c r="I27" s="692"/>
      <c r="J27" s="692"/>
      <c r="K27" s="691"/>
      <c r="L27" s="691"/>
      <c r="M27" s="691"/>
      <c r="N27" s="691"/>
      <c r="O27" s="691"/>
      <c r="P27" s="691"/>
      <c r="Q27" s="691"/>
      <c r="R27" s="691"/>
      <c r="S27" s="691"/>
      <c r="T27" s="691"/>
      <c r="U27" s="673">
        <f t="shared" si="10"/>
        <v>0</v>
      </c>
      <c r="V27" s="718">
        <f t="shared" si="11"/>
        <v>0</v>
      </c>
      <c r="W27" s="718">
        <f t="shared" si="12"/>
        <v>0</v>
      </c>
      <c r="X27" s="718">
        <f t="shared" si="13"/>
        <v>102590.8</v>
      </c>
      <c r="Y27" s="746">
        <f>E27-W27</f>
        <v>102590.8</v>
      </c>
      <c r="Z27" s="759"/>
      <c r="AA27" s="759"/>
      <c r="AB27" s="759"/>
      <c r="AC27" s="750"/>
    </row>
    <row r="28" spans="1:44" x14ac:dyDescent="0.25">
      <c r="A28" s="674" t="s">
        <v>969</v>
      </c>
      <c r="B28" s="688"/>
      <c r="C28" s="997">
        <v>158011.70000000001</v>
      </c>
      <c r="D28" s="997">
        <f>-766.7</f>
        <v>-766.7</v>
      </c>
      <c r="E28" s="720">
        <f>SUM(C28)+D28</f>
        <v>157245</v>
      </c>
      <c r="F28" s="720"/>
      <c r="G28" s="720">
        <f t="shared" si="9"/>
        <v>157245</v>
      </c>
      <c r="H28" s="718">
        <f>E28</f>
        <v>157245</v>
      </c>
      <c r="I28" s="692"/>
      <c r="J28" s="692"/>
      <c r="K28" s="691"/>
      <c r="L28" s="691"/>
      <c r="M28" s="691"/>
      <c r="N28" s="691"/>
      <c r="O28" s="691">
        <v>89445</v>
      </c>
      <c r="P28" s="691">
        <v>67800</v>
      </c>
      <c r="Q28" s="691"/>
      <c r="R28" s="691"/>
      <c r="S28" s="691"/>
      <c r="T28" s="691"/>
      <c r="U28" s="673">
        <f t="shared" si="10"/>
        <v>157245</v>
      </c>
      <c r="V28" s="718">
        <f t="shared" si="11"/>
        <v>0</v>
      </c>
      <c r="W28" s="718">
        <f t="shared" si="12"/>
        <v>157245</v>
      </c>
      <c r="X28" s="718">
        <f t="shared" si="13"/>
        <v>0</v>
      </c>
      <c r="Y28" s="1251">
        <f>E28-W28</f>
        <v>0</v>
      </c>
      <c r="Z28" s="759"/>
      <c r="AA28" s="759"/>
      <c r="AB28" s="759"/>
      <c r="AC28" s="750"/>
    </row>
    <row r="29" spans="1:44" x14ac:dyDescent="0.25">
      <c r="A29" s="754" t="s">
        <v>304</v>
      </c>
      <c r="B29" s="702"/>
      <c r="C29" s="753">
        <f>SUM(C24:C28)</f>
        <v>603995.76</v>
      </c>
      <c r="D29" s="753">
        <f t="shared" ref="D29:Y29" si="14">SUM(D24:D28)</f>
        <v>-174906.95</v>
      </c>
      <c r="E29" s="753">
        <f t="shared" si="14"/>
        <v>429088.81</v>
      </c>
      <c r="F29" s="753">
        <f t="shared" si="14"/>
        <v>0</v>
      </c>
      <c r="G29" s="753">
        <f t="shared" si="14"/>
        <v>429088.81</v>
      </c>
      <c r="H29" s="753">
        <f t="shared" si="14"/>
        <v>429088.81</v>
      </c>
      <c r="I29" s="753">
        <f t="shared" si="14"/>
        <v>0</v>
      </c>
      <c r="J29" s="753">
        <f t="shared" si="14"/>
        <v>0</v>
      </c>
      <c r="K29" s="753">
        <f t="shared" si="14"/>
        <v>34890</v>
      </c>
      <c r="L29" s="753">
        <f t="shared" si="14"/>
        <v>0</v>
      </c>
      <c r="M29" s="753">
        <f t="shared" si="14"/>
        <v>21000</v>
      </c>
      <c r="N29" s="753">
        <f t="shared" si="14"/>
        <v>0</v>
      </c>
      <c r="O29" s="753">
        <f t="shared" si="14"/>
        <v>89445</v>
      </c>
      <c r="P29" s="753">
        <f t="shared" si="14"/>
        <v>67800</v>
      </c>
      <c r="Q29" s="753">
        <f t="shared" si="14"/>
        <v>0</v>
      </c>
      <c r="R29" s="753">
        <f t="shared" si="14"/>
        <v>0</v>
      </c>
      <c r="S29" s="753">
        <f t="shared" si="14"/>
        <v>0</v>
      </c>
      <c r="T29" s="753">
        <f t="shared" si="14"/>
        <v>0</v>
      </c>
      <c r="U29" s="753">
        <f t="shared" si="14"/>
        <v>213135</v>
      </c>
      <c r="V29" s="753">
        <f t="shared" si="14"/>
        <v>0</v>
      </c>
      <c r="W29" s="753">
        <f t="shared" si="14"/>
        <v>213135</v>
      </c>
      <c r="X29" s="753">
        <f t="shared" si="14"/>
        <v>215953.81</v>
      </c>
      <c r="Y29" s="753">
        <f t="shared" si="14"/>
        <v>215953.81</v>
      </c>
      <c r="Z29" s="764"/>
      <c r="AA29" s="764"/>
      <c r="AB29" s="764"/>
      <c r="AC29" s="764"/>
      <c r="AD29" s="760"/>
      <c r="AE29" s="760"/>
    </row>
    <row r="30" spans="1:44" s="869" customFormat="1" ht="15.75" x14ac:dyDescent="0.25">
      <c r="A30" s="705" t="s">
        <v>970</v>
      </c>
      <c r="B30" s="737"/>
      <c r="C30" s="1445">
        <v>2020</v>
      </c>
      <c r="D30" s="1305"/>
      <c r="E30" s="1445">
        <v>2020</v>
      </c>
      <c r="F30" s="225"/>
      <c r="G30" s="225"/>
      <c r="H30" s="677"/>
      <c r="I30" s="677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677"/>
      <c r="U30" s="718"/>
      <c r="V30" s="718"/>
      <c r="W30" s="718"/>
      <c r="X30" s="182"/>
      <c r="Z30" s="734"/>
      <c r="AA30" s="734"/>
      <c r="AB30" s="734"/>
      <c r="AC30" s="734"/>
      <c r="AD30" s="734"/>
      <c r="AE30" s="734"/>
      <c r="AF30" s="734"/>
      <c r="AG30" s="734"/>
      <c r="AH30" s="734"/>
      <c r="AI30" s="734"/>
      <c r="AJ30" s="734"/>
      <c r="AK30" s="734"/>
      <c r="AL30" s="734"/>
      <c r="AM30" s="734"/>
      <c r="AN30" s="734"/>
      <c r="AO30" s="734"/>
      <c r="AP30" s="734"/>
      <c r="AQ30" s="734"/>
      <c r="AR30" s="734"/>
    </row>
    <row r="31" spans="1:44" s="869" customFormat="1" ht="18.75" customHeight="1" x14ac:dyDescent="0.25">
      <c r="A31" s="127" t="s">
        <v>971</v>
      </c>
      <c r="B31" s="737"/>
      <c r="C31" s="1446"/>
      <c r="D31" s="1306"/>
      <c r="E31" s="1446"/>
      <c r="F31" s="225"/>
      <c r="G31" s="225"/>
      <c r="H31" s="677"/>
      <c r="I31" s="677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677"/>
      <c r="U31" s="718"/>
      <c r="V31" s="718"/>
      <c r="W31" s="718">
        <f t="shared" ref="W31:W48" si="15">U31+V31</f>
        <v>0</v>
      </c>
      <c r="X31" s="718">
        <f t="shared" ref="X31:X47" si="16">H31-W31</f>
        <v>0</v>
      </c>
      <c r="Y31" s="746">
        <f t="shared" ref="Y31:Y47" si="17">E31-W31</f>
        <v>0</v>
      </c>
      <c r="Z31" s="734"/>
      <c r="AA31" s="734"/>
      <c r="AB31" s="734"/>
      <c r="AC31" s="734"/>
      <c r="AD31" s="734"/>
      <c r="AE31" s="734"/>
      <c r="AF31" s="734"/>
      <c r="AG31" s="734"/>
      <c r="AH31" s="734"/>
      <c r="AI31" s="734"/>
      <c r="AJ31" s="734"/>
      <c r="AK31" s="734"/>
      <c r="AL31" s="734"/>
      <c r="AM31" s="734"/>
      <c r="AN31" s="734"/>
      <c r="AO31" s="734"/>
      <c r="AP31" s="734"/>
      <c r="AQ31" s="734"/>
      <c r="AR31" s="734"/>
    </row>
    <row r="32" spans="1:44" s="869" customFormat="1" x14ac:dyDescent="0.25">
      <c r="A32" s="885" t="s">
        <v>984</v>
      </c>
      <c r="B32" s="737"/>
      <c r="C32" s="718">
        <v>148150</v>
      </c>
      <c r="D32" s="718">
        <f>-148150</f>
        <v>-148150</v>
      </c>
      <c r="E32" s="720">
        <f t="shared" ref="E32:E47" si="18">SUM(C32)+D32</f>
        <v>0</v>
      </c>
      <c r="F32" s="225"/>
      <c r="G32" s="720">
        <f t="shared" ref="G32:G47" si="19">E32</f>
        <v>0</v>
      </c>
      <c r="H32" s="718">
        <f t="shared" ref="H32:H47" si="20">E32</f>
        <v>0</v>
      </c>
      <c r="I32" s="677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677"/>
      <c r="U32" s="673">
        <f t="shared" ref="U32:U48" si="21">I32+J32+K32+L32+M32+N32+O32+P32+Q32</f>
        <v>0</v>
      </c>
      <c r="V32" s="718">
        <f t="shared" ref="V32:V48" si="22">R32</f>
        <v>0</v>
      </c>
      <c r="W32" s="725">
        <f t="shared" si="15"/>
        <v>0</v>
      </c>
      <c r="X32" s="718">
        <f t="shared" si="16"/>
        <v>0</v>
      </c>
      <c r="Y32" s="1251">
        <f t="shared" si="17"/>
        <v>0</v>
      </c>
      <c r="Z32" s="734"/>
      <c r="AA32" s="734"/>
      <c r="AB32" s="734"/>
      <c r="AC32" s="734"/>
      <c r="AD32" s="734"/>
      <c r="AE32" s="734"/>
      <c r="AF32" s="734"/>
      <c r="AG32" s="734"/>
      <c r="AH32" s="734"/>
      <c r="AI32" s="734"/>
      <c r="AJ32" s="734"/>
      <c r="AK32" s="734"/>
      <c r="AL32" s="734"/>
      <c r="AM32" s="734"/>
      <c r="AN32" s="734"/>
      <c r="AO32" s="734"/>
      <c r="AP32" s="734"/>
      <c r="AQ32" s="734"/>
      <c r="AR32" s="734"/>
    </row>
    <row r="33" spans="1:44" s="869" customFormat="1" x14ac:dyDescent="0.25">
      <c r="A33" s="717" t="s">
        <v>972</v>
      </c>
      <c r="B33" s="737"/>
      <c r="C33" s="718"/>
      <c r="D33" s="718"/>
      <c r="E33" s="720">
        <f t="shared" si="18"/>
        <v>0</v>
      </c>
      <c r="F33" s="225"/>
      <c r="G33" s="720">
        <f t="shared" si="19"/>
        <v>0</v>
      </c>
      <c r="H33" s="718">
        <f t="shared" si="20"/>
        <v>0</v>
      </c>
      <c r="I33" s="677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677"/>
      <c r="U33" s="673">
        <f t="shared" si="21"/>
        <v>0</v>
      </c>
      <c r="V33" s="718">
        <f t="shared" si="22"/>
        <v>0</v>
      </c>
      <c r="W33" s="725">
        <f t="shared" si="15"/>
        <v>0</v>
      </c>
      <c r="X33" s="718">
        <f t="shared" si="16"/>
        <v>0</v>
      </c>
      <c r="Y33" s="746">
        <f t="shared" si="17"/>
        <v>0</v>
      </c>
      <c r="Z33" s="734"/>
      <c r="AA33" s="734"/>
      <c r="AB33" s="734"/>
      <c r="AC33" s="734"/>
      <c r="AD33" s="734"/>
      <c r="AE33" s="734"/>
      <c r="AF33" s="734"/>
      <c r="AG33" s="734"/>
      <c r="AH33" s="734"/>
      <c r="AI33" s="734"/>
      <c r="AJ33" s="734"/>
      <c r="AK33" s="734"/>
      <c r="AL33" s="734"/>
      <c r="AM33" s="734"/>
      <c r="AN33" s="734"/>
      <c r="AO33" s="734"/>
      <c r="AP33" s="734"/>
      <c r="AQ33" s="734"/>
      <c r="AR33" s="734"/>
    </row>
    <row r="34" spans="1:44" s="869" customFormat="1" x14ac:dyDescent="0.25">
      <c r="A34" s="707" t="s">
        <v>973</v>
      </c>
      <c r="B34" s="737"/>
      <c r="C34" s="718"/>
      <c r="D34" s="718"/>
      <c r="E34" s="720">
        <f t="shared" si="18"/>
        <v>0</v>
      </c>
      <c r="F34" s="225"/>
      <c r="G34" s="720">
        <f t="shared" si="19"/>
        <v>0</v>
      </c>
      <c r="H34" s="718">
        <f t="shared" si="20"/>
        <v>0</v>
      </c>
      <c r="I34" s="677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677"/>
      <c r="U34" s="673">
        <f t="shared" si="21"/>
        <v>0</v>
      </c>
      <c r="V34" s="718">
        <f t="shared" si="22"/>
        <v>0</v>
      </c>
      <c r="W34" s="725">
        <f t="shared" si="15"/>
        <v>0</v>
      </c>
      <c r="X34" s="718">
        <f t="shared" si="16"/>
        <v>0</v>
      </c>
      <c r="Y34" s="746">
        <f t="shared" si="17"/>
        <v>0</v>
      </c>
      <c r="Z34" s="734"/>
      <c r="AA34" s="734"/>
      <c r="AB34" s="734"/>
      <c r="AC34" s="734"/>
      <c r="AD34" s="734"/>
      <c r="AE34" s="734"/>
      <c r="AF34" s="734"/>
      <c r="AG34" s="734"/>
      <c r="AH34" s="734"/>
      <c r="AI34" s="734"/>
      <c r="AJ34" s="734"/>
      <c r="AK34" s="734"/>
      <c r="AL34" s="734"/>
      <c r="AM34" s="734"/>
      <c r="AN34" s="734"/>
      <c r="AO34" s="734"/>
      <c r="AP34" s="734"/>
      <c r="AQ34" s="734"/>
      <c r="AR34" s="734"/>
    </row>
    <row r="35" spans="1:44" s="869" customFormat="1" x14ac:dyDescent="0.25">
      <c r="A35" s="127" t="s">
        <v>974</v>
      </c>
      <c r="B35" s="737"/>
      <c r="C35" s="718"/>
      <c r="D35" s="718"/>
      <c r="E35" s="720">
        <f t="shared" si="18"/>
        <v>0</v>
      </c>
      <c r="F35" s="225"/>
      <c r="G35" s="720">
        <f t="shared" si="19"/>
        <v>0</v>
      </c>
      <c r="H35" s="718">
        <f t="shared" si="20"/>
        <v>0</v>
      </c>
      <c r="I35" s="677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677"/>
      <c r="U35" s="673">
        <f t="shared" si="21"/>
        <v>0</v>
      </c>
      <c r="V35" s="718">
        <f t="shared" si="22"/>
        <v>0</v>
      </c>
      <c r="W35" s="725">
        <f t="shared" si="15"/>
        <v>0</v>
      </c>
      <c r="X35" s="718">
        <f t="shared" si="16"/>
        <v>0</v>
      </c>
      <c r="Y35" s="746">
        <f t="shared" si="17"/>
        <v>0</v>
      </c>
      <c r="Z35" s="734"/>
      <c r="AA35" s="734"/>
      <c r="AB35" s="734"/>
      <c r="AC35" s="734"/>
      <c r="AD35" s="734"/>
      <c r="AE35" s="734"/>
      <c r="AF35" s="734"/>
      <c r="AG35" s="734"/>
      <c r="AH35" s="734"/>
      <c r="AI35" s="734"/>
      <c r="AJ35" s="734"/>
      <c r="AK35" s="734"/>
      <c r="AL35" s="734"/>
      <c r="AM35" s="734"/>
      <c r="AN35" s="734"/>
      <c r="AO35" s="734"/>
      <c r="AP35" s="734"/>
      <c r="AQ35" s="734"/>
      <c r="AR35" s="734"/>
    </row>
    <row r="36" spans="1:44" s="869" customFormat="1" x14ac:dyDescent="0.25">
      <c r="A36" s="127" t="s">
        <v>975</v>
      </c>
      <c r="B36" s="737"/>
      <c r="C36" s="718"/>
      <c r="D36" s="718"/>
      <c r="E36" s="720">
        <f t="shared" si="18"/>
        <v>0</v>
      </c>
      <c r="F36" s="225"/>
      <c r="G36" s="720">
        <f t="shared" si="19"/>
        <v>0</v>
      </c>
      <c r="H36" s="718">
        <f t="shared" si="20"/>
        <v>0</v>
      </c>
      <c r="I36" s="677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677"/>
      <c r="U36" s="673">
        <f t="shared" si="21"/>
        <v>0</v>
      </c>
      <c r="V36" s="718">
        <f t="shared" si="22"/>
        <v>0</v>
      </c>
      <c r="W36" s="725">
        <f t="shared" si="15"/>
        <v>0</v>
      </c>
      <c r="X36" s="718">
        <f t="shared" si="16"/>
        <v>0</v>
      </c>
      <c r="Y36" s="746">
        <f t="shared" si="17"/>
        <v>0</v>
      </c>
      <c r="Z36" s="734"/>
      <c r="AA36" s="734"/>
      <c r="AB36" s="734"/>
      <c r="AC36" s="734"/>
      <c r="AD36" s="734"/>
      <c r="AE36" s="734"/>
      <c r="AF36" s="734"/>
      <c r="AG36" s="734"/>
      <c r="AH36" s="734"/>
      <c r="AI36" s="734"/>
      <c r="AJ36" s="734"/>
      <c r="AK36" s="734"/>
      <c r="AL36" s="734"/>
      <c r="AM36" s="734"/>
      <c r="AN36" s="734"/>
      <c r="AO36" s="734"/>
      <c r="AP36" s="734"/>
      <c r="AQ36" s="734"/>
      <c r="AR36" s="734"/>
    </row>
    <row r="37" spans="1:44" s="869" customFormat="1" ht="26.25" x14ac:dyDescent="0.25">
      <c r="A37" s="706" t="s">
        <v>985</v>
      </c>
      <c r="B37" s="737"/>
      <c r="C37" s="718">
        <v>2915.92</v>
      </c>
      <c r="D37" s="718">
        <f>-2915.92</f>
        <v>-2915.92</v>
      </c>
      <c r="E37" s="720">
        <f t="shared" si="18"/>
        <v>0</v>
      </c>
      <c r="F37" s="225"/>
      <c r="G37" s="720">
        <f t="shared" si="19"/>
        <v>0</v>
      </c>
      <c r="H37" s="718">
        <f t="shared" si="20"/>
        <v>0</v>
      </c>
      <c r="I37" s="677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677"/>
      <c r="U37" s="673">
        <f t="shared" si="21"/>
        <v>0</v>
      </c>
      <c r="V37" s="718">
        <f t="shared" si="22"/>
        <v>0</v>
      </c>
      <c r="W37" s="725">
        <f t="shared" si="15"/>
        <v>0</v>
      </c>
      <c r="X37" s="718">
        <f t="shared" si="16"/>
        <v>0</v>
      </c>
      <c r="Y37" s="1251">
        <f t="shared" si="17"/>
        <v>0</v>
      </c>
      <c r="Z37" s="734"/>
      <c r="AA37" s="734"/>
      <c r="AB37" s="734"/>
      <c r="AC37" s="734"/>
      <c r="AD37" s="734"/>
      <c r="AE37" s="734"/>
      <c r="AF37" s="734"/>
      <c r="AG37" s="734"/>
      <c r="AH37" s="734"/>
      <c r="AI37" s="734"/>
      <c r="AJ37" s="734"/>
      <c r="AK37" s="734"/>
      <c r="AL37" s="734"/>
      <c r="AM37" s="734"/>
      <c r="AN37" s="734"/>
      <c r="AO37" s="734"/>
      <c r="AP37" s="734"/>
      <c r="AQ37" s="734"/>
      <c r="AR37" s="734"/>
    </row>
    <row r="38" spans="1:44" s="869" customFormat="1" x14ac:dyDescent="0.25">
      <c r="A38" s="127" t="s">
        <v>986</v>
      </c>
      <c r="B38" s="737"/>
      <c r="C38" s="718"/>
      <c r="D38" s="718"/>
      <c r="E38" s="720">
        <f t="shared" si="18"/>
        <v>0</v>
      </c>
      <c r="F38" s="225"/>
      <c r="G38" s="720">
        <f t="shared" si="19"/>
        <v>0</v>
      </c>
      <c r="H38" s="718">
        <f t="shared" si="20"/>
        <v>0</v>
      </c>
      <c r="I38" s="677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677"/>
      <c r="U38" s="673">
        <f t="shared" si="21"/>
        <v>0</v>
      </c>
      <c r="V38" s="718">
        <f t="shared" si="22"/>
        <v>0</v>
      </c>
      <c r="W38" s="725">
        <f t="shared" si="15"/>
        <v>0</v>
      </c>
      <c r="X38" s="718">
        <f t="shared" si="16"/>
        <v>0</v>
      </c>
      <c r="Y38" s="746">
        <f t="shared" si="17"/>
        <v>0</v>
      </c>
      <c r="Z38" s="734"/>
      <c r="AA38" s="734"/>
      <c r="AB38" s="734"/>
      <c r="AC38" s="734"/>
      <c r="AD38" s="734"/>
      <c r="AE38" s="734"/>
      <c r="AF38" s="734"/>
      <c r="AG38" s="734"/>
      <c r="AH38" s="734"/>
      <c r="AI38" s="734"/>
      <c r="AJ38" s="734"/>
      <c r="AK38" s="734"/>
      <c r="AL38" s="734"/>
      <c r="AM38" s="734"/>
      <c r="AN38" s="734"/>
      <c r="AO38" s="734"/>
      <c r="AP38" s="734"/>
      <c r="AQ38" s="734"/>
      <c r="AR38" s="734"/>
    </row>
    <row r="39" spans="1:44" s="869" customFormat="1" x14ac:dyDescent="0.25">
      <c r="A39" s="706" t="s">
        <v>987</v>
      </c>
      <c r="B39" s="737"/>
      <c r="C39" s="718">
        <v>845</v>
      </c>
      <c r="D39" s="718">
        <f>-845</f>
        <v>-845</v>
      </c>
      <c r="E39" s="720">
        <f t="shared" si="18"/>
        <v>0</v>
      </c>
      <c r="F39" s="225"/>
      <c r="G39" s="720">
        <f t="shared" si="19"/>
        <v>0</v>
      </c>
      <c r="H39" s="718">
        <f>E39</f>
        <v>0</v>
      </c>
      <c r="I39" s="677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677"/>
      <c r="U39" s="673">
        <f t="shared" si="21"/>
        <v>0</v>
      </c>
      <c r="V39" s="718">
        <f t="shared" si="22"/>
        <v>0</v>
      </c>
      <c r="W39" s="725">
        <f t="shared" si="15"/>
        <v>0</v>
      </c>
      <c r="X39" s="718">
        <f t="shared" si="16"/>
        <v>0</v>
      </c>
      <c r="Y39" s="1251">
        <f t="shared" si="17"/>
        <v>0</v>
      </c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4"/>
      <c r="AM39" s="734"/>
      <c r="AN39" s="734"/>
      <c r="AO39" s="734"/>
      <c r="AP39" s="734"/>
      <c r="AQ39" s="734"/>
      <c r="AR39" s="734"/>
    </row>
    <row r="40" spans="1:44" s="869" customFormat="1" x14ac:dyDescent="0.25">
      <c r="A40" s="717" t="s">
        <v>976</v>
      </c>
      <c r="B40" s="737"/>
      <c r="C40" s="718"/>
      <c r="D40" s="718"/>
      <c r="E40" s="720">
        <f t="shared" si="18"/>
        <v>0</v>
      </c>
      <c r="F40" s="225"/>
      <c r="G40" s="720">
        <f t="shared" si="19"/>
        <v>0</v>
      </c>
      <c r="H40" s="718">
        <f t="shared" si="20"/>
        <v>0</v>
      </c>
      <c r="I40" s="677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677"/>
      <c r="U40" s="673">
        <f t="shared" si="21"/>
        <v>0</v>
      </c>
      <c r="V40" s="718">
        <f t="shared" si="22"/>
        <v>0</v>
      </c>
      <c r="W40" s="725">
        <f t="shared" si="15"/>
        <v>0</v>
      </c>
      <c r="X40" s="718">
        <f t="shared" si="16"/>
        <v>0</v>
      </c>
      <c r="Y40" s="746">
        <f t="shared" si="17"/>
        <v>0</v>
      </c>
      <c r="Z40" s="734"/>
      <c r="AA40" s="734"/>
      <c r="AB40" s="734"/>
      <c r="AC40" s="734"/>
      <c r="AD40" s="734"/>
      <c r="AE40" s="734"/>
      <c r="AF40" s="734"/>
      <c r="AG40" s="734"/>
      <c r="AH40" s="734"/>
      <c r="AI40" s="734"/>
      <c r="AJ40" s="734"/>
      <c r="AK40" s="734"/>
      <c r="AL40" s="734"/>
      <c r="AM40" s="734"/>
      <c r="AN40" s="734"/>
      <c r="AO40" s="734"/>
      <c r="AP40" s="734"/>
      <c r="AQ40" s="734"/>
      <c r="AR40" s="734"/>
    </row>
    <row r="41" spans="1:44" s="869" customFormat="1" ht="26.25" x14ac:dyDescent="0.25">
      <c r="A41" s="706" t="s">
        <v>977</v>
      </c>
      <c r="B41" s="737"/>
      <c r="C41" s="718">
        <v>2975</v>
      </c>
      <c r="D41" s="718">
        <f>-2975</f>
        <v>-2975</v>
      </c>
      <c r="E41" s="720">
        <f t="shared" si="18"/>
        <v>0</v>
      </c>
      <c r="F41" s="225"/>
      <c r="G41" s="720">
        <f t="shared" si="19"/>
        <v>0</v>
      </c>
      <c r="H41" s="718">
        <f t="shared" si="20"/>
        <v>0</v>
      </c>
      <c r="I41" s="677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677"/>
      <c r="U41" s="673">
        <f t="shared" si="21"/>
        <v>0</v>
      </c>
      <c r="V41" s="718">
        <f t="shared" si="22"/>
        <v>0</v>
      </c>
      <c r="W41" s="725">
        <f t="shared" si="15"/>
        <v>0</v>
      </c>
      <c r="X41" s="718">
        <f t="shared" si="16"/>
        <v>0</v>
      </c>
      <c r="Y41" s="1251">
        <f t="shared" si="17"/>
        <v>0</v>
      </c>
      <c r="Z41" s="734"/>
      <c r="AA41" s="734"/>
      <c r="AB41" s="734"/>
      <c r="AC41" s="734"/>
      <c r="AD41" s="734"/>
      <c r="AE41" s="734"/>
      <c r="AF41" s="734"/>
      <c r="AG41" s="734"/>
      <c r="AH41" s="734"/>
      <c r="AI41" s="734"/>
      <c r="AJ41" s="734"/>
      <c r="AK41" s="734"/>
      <c r="AL41" s="734"/>
      <c r="AM41" s="734"/>
      <c r="AN41" s="734"/>
      <c r="AO41" s="734"/>
      <c r="AP41" s="734"/>
      <c r="AQ41" s="734"/>
      <c r="AR41" s="734"/>
    </row>
    <row r="42" spans="1:44" s="869" customFormat="1" ht="26.25" x14ac:dyDescent="0.25">
      <c r="A42" s="706" t="s">
        <v>978</v>
      </c>
      <c r="B42" s="737"/>
      <c r="C42" s="718">
        <v>550</v>
      </c>
      <c r="D42" s="718">
        <f>-550</f>
        <v>-550</v>
      </c>
      <c r="E42" s="720">
        <f t="shared" si="18"/>
        <v>0</v>
      </c>
      <c r="F42" s="225"/>
      <c r="G42" s="720">
        <f t="shared" si="19"/>
        <v>0</v>
      </c>
      <c r="H42" s="718">
        <f t="shared" si="20"/>
        <v>0</v>
      </c>
      <c r="I42" s="677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677"/>
      <c r="U42" s="673">
        <f t="shared" si="21"/>
        <v>0</v>
      </c>
      <c r="V42" s="718">
        <f t="shared" si="22"/>
        <v>0</v>
      </c>
      <c r="W42" s="725">
        <f t="shared" si="15"/>
        <v>0</v>
      </c>
      <c r="X42" s="718">
        <f t="shared" si="16"/>
        <v>0</v>
      </c>
      <c r="Y42" s="1251">
        <f t="shared" si="17"/>
        <v>0</v>
      </c>
      <c r="Z42" s="734"/>
      <c r="AA42" s="734"/>
      <c r="AB42" s="734"/>
      <c r="AC42" s="734"/>
      <c r="AD42" s="734"/>
      <c r="AE42" s="734"/>
      <c r="AF42" s="734"/>
      <c r="AG42" s="734"/>
      <c r="AH42" s="734"/>
      <c r="AI42" s="734"/>
      <c r="AJ42" s="734"/>
      <c r="AK42" s="734"/>
      <c r="AL42" s="734"/>
      <c r="AM42" s="734"/>
      <c r="AN42" s="734"/>
      <c r="AO42" s="734"/>
      <c r="AP42" s="734"/>
      <c r="AQ42" s="734"/>
      <c r="AR42" s="734"/>
    </row>
    <row r="43" spans="1:44" s="869" customFormat="1" x14ac:dyDescent="0.25">
      <c r="A43" s="717" t="s">
        <v>979</v>
      </c>
      <c r="B43" s="737"/>
      <c r="C43" s="718">
        <v>52314.22</v>
      </c>
      <c r="D43" s="718">
        <f>-52314.22</f>
        <v>-52314.22</v>
      </c>
      <c r="E43" s="720">
        <f t="shared" si="18"/>
        <v>0</v>
      </c>
      <c r="F43" s="225"/>
      <c r="G43" s="720">
        <f t="shared" si="19"/>
        <v>0</v>
      </c>
      <c r="H43" s="718">
        <f t="shared" si="20"/>
        <v>0</v>
      </c>
      <c r="I43" s="677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677"/>
      <c r="U43" s="673">
        <f t="shared" si="21"/>
        <v>0</v>
      </c>
      <c r="V43" s="718">
        <f t="shared" si="22"/>
        <v>0</v>
      </c>
      <c r="W43" s="725">
        <f t="shared" si="15"/>
        <v>0</v>
      </c>
      <c r="X43" s="718">
        <f t="shared" si="16"/>
        <v>0</v>
      </c>
      <c r="Y43" s="1251">
        <f t="shared" si="17"/>
        <v>0</v>
      </c>
      <c r="Z43" s="734"/>
      <c r="AA43" s="734"/>
      <c r="AB43" s="734"/>
      <c r="AC43" s="734"/>
      <c r="AD43" s="734"/>
      <c r="AE43" s="734"/>
      <c r="AF43" s="734"/>
      <c r="AG43" s="734"/>
      <c r="AH43" s="734"/>
      <c r="AI43" s="734"/>
      <c r="AJ43" s="734"/>
      <c r="AK43" s="734"/>
      <c r="AL43" s="734"/>
      <c r="AM43" s="734"/>
      <c r="AN43" s="734"/>
      <c r="AO43" s="734"/>
      <c r="AP43" s="734"/>
      <c r="AQ43" s="734"/>
      <c r="AR43" s="734"/>
    </row>
    <row r="44" spans="1:44" s="869" customFormat="1" ht="26.25" x14ac:dyDescent="0.25">
      <c r="A44" s="706" t="s">
        <v>980</v>
      </c>
      <c r="B44" s="737"/>
      <c r="C44" s="718">
        <v>500000</v>
      </c>
      <c r="D44" s="718">
        <f>-475</f>
        <v>-475</v>
      </c>
      <c r="E44" s="720">
        <f t="shared" si="18"/>
        <v>499525</v>
      </c>
      <c r="F44" s="225"/>
      <c r="G44" s="720">
        <f t="shared" si="19"/>
        <v>499525</v>
      </c>
      <c r="H44" s="718">
        <f t="shared" si="20"/>
        <v>499525</v>
      </c>
      <c r="I44" s="677"/>
      <c r="J44" s="271"/>
      <c r="K44" s="271"/>
      <c r="L44" s="271">
        <f>138900+360625</f>
        <v>499525</v>
      </c>
      <c r="M44" s="271"/>
      <c r="N44" s="271"/>
      <c r="O44" s="271"/>
      <c r="P44" s="271"/>
      <c r="Q44" s="271"/>
      <c r="R44" s="271"/>
      <c r="S44" s="271"/>
      <c r="T44" s="677"/>
      <c r="U44" s="673">
        <f t="shared" si="21"/>
        <v>499525</v>
      </c>
      <c r="V44" s="718">
        <f t="shared" si="22"/>
        <v>0</v>
      </c>
      <c r="W44" s="718">
        <f t="shared" si="15"/>
        <v>499525</v>
      </c>
      <c r="X44" s="718">
        <f t="shared" si="16"/>
        <v>0</v>
      </c>
      <c r="Y44" s="1251">
        <f t="shared" si="17"/>
        <v>0</v>
      </c>
      <c r="Z44" s="734"/>
      <c r="AA44" s="734"/>
      <c r="AB44" s="734"/>
      <c r="AC44" s="734"/>
      <c r="AD44" s="734"/>
      <c r="AE44" s="734"/>
      <c r="AF44" s="734"/>
      <c r="AG44" s="734"/>
      <c r="AH44" s="734"/>
      <c r="AI44" s="734"/>
      <c r="AJ44" s="734"/>
      <c r="AK44" s="734"/>
      <c r="AL44" s="734"/>
      <c r="AM44" s="734"/>
      <c r="AN44" s="734"/>
      <c r="AO44" s="734"/>
      <c r="AP44" s="734"/>
      <c r="AQ44" s="734"/>
      <c r="AR44" s="734"/>
    </row>
    <row r="45" spans="1:44" s="869" customFormat="1" x14ac:dyDescent="0.25">
      <c r="A45" s="706" t="s">
        <v>981</v>
      </c>
      <c r="B45" s="737"/>
      <c r="C45" s="718">
        <v>161794</v>
      </c>
      <c r="D45" s="718"/>
      <c r="E45" s="720">
        <f t="shared" si="18"/>
        <v>161794</v>
      </c>
      <c r="F45" s="225"/>
      <c r="G45" s="720">
        <f t="shared" si="19"/>
        <v>161794</v>
      </c>
      <c r="H45" s="718">
        <f t="shared" si="20"/>
        <v>161794</v>
      </c>
      <c r="I45" s="677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677"/>
      <c r="U45" s="673">
        <f t="shared" si="21"/>
        <v>0</v>
      </c>
      <c r="V45" s="718">
        <f t="shared" si="22"/>
        <v>0</v>
      </c>
      <c r="W45" s="718">
        <f t="shared" si="15"/>
        <v>0</v>
      </c>
      <c r="X45" s="718">
        <f t="shared" si="16"/>
        <v>161794</v>
      </c>
      <c r="Y45" s="746">
        <f t="shared" si="17"/>
        <v>161794</v>
      </c>
      <c r="Z45" s="734"/>
      <c r="AA45" s="734"/>
      <c r="AB45" s="734"/>
      <c r="AC45" s="734"/>
      <c r="AD45" s="734"/>
      <c r="AE45" s="734"/>
      <c r="AF45" s="734"/>
      <c r="AG45" s="734"/>
      <c r="AH45" s="734"/>
      <c r="AI45" s="734"/>
      <c r="AJ45" s="734"/>
      <c r="AK45" s="734"/>
      <c r="AL45" s="734"/>
      <c r="AM45" s="734"/>
      <c r="AN45" s="734"/>
      <c r="AO45" s="734"/>
      <c r="AP45" s="734"/>
      <c r="AQ45" s="734"/>
      <c r="AR45" s="734"/>
    </row>
    <row r="46" spans="1:44" s="869" customFormat="1" x14ac:dyDescent="0.25">
      <c r="A46" s="706" t="s">
        <v>982</v>
      </c>
      <c r="B46" s="737"/>
      <c r="C46" s="718">
        <v>200000</v>
      </c>
      <c r="D46" s="718"/>
      <c r="E46" s="720">
        <f t="shared" si="18"/>
        <v>200000</v>
      </c>
      <c r="F46" s="225"/>
      <c r="G46" s="720">
        <f t="shared" si="19"/>
        <v>200000</v>
      </c>
      <c r="H46" s="718">
        <f t="shared" si="20"/>
        <v>200000</v>
      </c>
      <c r="I46" s="677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677"/>
      <c r="U46" s="673">
        <f t="shared" si="21"/>
        <v>0</v>
      </c>
      <c r="V46" s="718">
        <f t="shared" si="22"/>
        <v>0</v>
      </c>
      <c r="W46" s="718">
        <f t="shared" si="15"/>
        <v>0</v>
      </c>
      <c r="X46" s="718">
        <f t="shared" si="16"/>
        <v>200000</v>
      </c>
      <c r="Y46" s="746">
        <f t="shared" si="17"/>
        <v>200000</v>
      </c>
      <c r="Z46" s="734"/>
      <c r="AA46" s="734"/>
      <c r="AB46" s="734"/>
      <c r="AC46" s="734"/>
      <c r="AD46" s="734"/>
      <c r="AE46" s="734"/>
      <c r="AF46" s="734"/>
      <c r="AG46" s="734"/>
      <c r="AH46" s="734"/>
      <c r="AI46" s="734"/>
      <c r="AJ46" s="734"/>
      <c r="AK46" s="734"/>
      <c r="AL46" s="734"/>
      <c r="AM46" s="734"/>
      <c r="AN46" s="734"/>
      <c r="AO46" s="734"/>
      <c r="AP46" s="734"/>
      <c r="AQ46" s="734"/>
      <c r="AR46" s="734"/>
    </row>
    <row r="47" spans="1:44" s="869" customFormat="1" x14ac:dyDescent="0.25">
      <c r="A47" s="706" t="s">
        <v>983</v>
      </c>
      <c r="B47" s="737"/>
      <c r="C47" s="718">
        <v>120598.39</v>
      </c>
      <c r="D47" s="718">
        <f>-3462.37</f>
        <v>-3462.37</v>
      </c>
      <c r="E47" s="720">
        <f t="shared" si="18"/>
        <v>117136.02</v>
      </c>
      <c r="F47" s="225"/>
      <c r="G47" s="720">
        <f t="shared" si="19"/>
        <v>117136.02</v>
      </c>
      <c r="H47" s="718">
        <f t="shared" si="20"/>
        <v>117136.02</v>
      </c>
      <c r="I47" s="677"/>
      <c r="J47" s="271"/>
      <c r="K47" s="271"/>
      <c r="L47" s="271"/>
      <c r="M47" s="271"/>
      <c r="N47" s="271"/>
      <c r="O47" s="271"/>
      <c r="P47" s="271"/>
      <c r="Q47" s="677">
        <v>117136.02</v>
      </c>
      <c r="R47" s="271"/>
      <c r="S47" s="271"/>
      <c r="T47" s="677"/>
      <c r="U47" s="673">
        <f t="shared" si="21"/>
        <v>117136.02</v>
      </c>
      <c r="V47" s="718">
        <f t="shared" si="22"/>
        <v>0</v>
      </c>
      <c r="W47" s="718">
        <f t="shared" si="15"/>
        <v>117136.02</v>
      </c>
      <c r="X47" s="718">
        <f t="shared" si="16"/>
        <v>0</v>
      </c>
      <c r="Y47" s="1251">
        <f t="shared" si="17"/>
        <v>0</v>
      </c>
      <c r="Z47" s="734"/>
      <c r="AA47" s="734"/>
      <c r="AB47" s="734"/>
      <c r="AC47" s="734"/>
      <c r="AD47" s="734"/>
      <c r="AE47" s="734"/>
      <c r="AF47" s="734"/>
      <c r="AG47" s="734"/>
      <c r="AH47" s="734"/>
      <c r="AI47" s="734"/>
      <c r="AJ47" s="734"/>
      <c r="AK47" s="734"/>
      <c r="AL47" s="734"/>
      <c r="AM47" s="734"/>
      <c r="AN47" s="734"/>
      <c r="AO47" s="734"/>
      <c r="AP47" s="734"/>
      <c r="AQ47" s="734"/>
      <c r="AR47" s="734"/>
    </row>
    <row r="48" spans="1:44" x14ac:dyDescent="0.25">
      <c r="A48" s="950"/>
      <c r="B48" s="688"/>
      <c r="C48" s="673"/>
      <c r="D48" s="673"/>
      <c r="E48" s="720"/>
      <c r="F48" s="720"/>
      <c r="G48" s="720"/>
      <c r="H48" s="718"/>
      <c r="I48" s="692"/>
      <c r="J48" s="692"/>
      <c r="K48" s="691"/>
      <c r="L48" s="691"/>
      <c r="M48" s="691"/>
      <c r="N48" s="691"/>
      <c r="O48" s="691"/>
      <c r="P48" s="691"/>
      <c r="Q48" s="691"/>
      <c r="R48" s="691"/>
      <c r="S48" s="691"/>
      <c r="T48" s="691"/>
      <c r="U48" s="673">
        <f t="shared" si="21"/>
        <v>0</v>
      </c>
      <c r="V48" s="718">
        <f t="shared" si="22"/>
        <v>0</v>
      </c>
      <c r="W48" s="718">
        <f t="shared" si="15"/>
        <v>0</v>
      </c>
      <c r="X48" s="718"/>
      <c r="Y48" s="746"/>
      <c r="Z48" s="759"/>
      <c r="AA48" s="759"/>
      <c r="AB48" s="759"/>
      <c r="AC48" s="751"/>
    </row>
    <row r="49" spans="1:44" s="953" customFormat="1" x14ac:dyDescent="0.25">
      <c r="A49" s="754" t="s">
        <v>304</v>
      </c>
      <c r="B49" s="737"/>
      <c r="C49" s="725">
        <f>SUM(C32:C48)</f>
        <v>1190142.53</v>
      </c>
      <c r="D49" s="725">
        <f t="shared" ref="D49:Y49" si="23">SUM(D32:D48)</f>
        <v>-211687.51</v>
      </c>
      <c r="E49" s="725">
        <f t="shared" si="23"/>
        <v>978455.02</v>
      </c>
      <c r="F49" s="725">
        <f t="shared" si="23"/>
        <v>0</v>
      </c>
      <c r="G49" s="725">
        <f t="shared" si="23"/>
        <v>978455.02</v>
      </c>
      <c r="H49" s="725">
        <f t="shared" si="23"/>
        <v>978455.02</v>
      </c>
      <c r="I49" s="725">
        <f t="shared" si="23"/>
        <v>0</v>
      </c>
      <c r="J49" s="725">
        <f t="shared" si="23"/>
        <v>0</v>
      </c>
      <c r="K49" s="725">
        <f t="shared" si="23"/>
        <v>0</v>
      </c>
      <c r="L49" s="725">
        <f t="shared" si="23"/>
        <v>499525</v>
      </c>
      <c r="M49" s="725">
        <f t="shared" si="23"/>
        <v>0</v>
      </c>
      <c r="N49" s="725">
        <f t="shared" si="23"/>
        <v>0</v>
      </c>
      <c r="O49" s="725">
        <f t="shared" si="23"/>
        <v>0</v>
      </c>
      <c r="P49" s="725">
        <f t="shared" si="23"/>
        <v>0</v>
      </c>
      <c r="Q49" s="725">
        <f t="shared" si="23"/>
        <v>117136.02</v>
      </c>
      <c r="R49" s="725">
        <f t="shared" si="23"/>
        <v>0</v>
      </c>
      <c r="S49" s="725">
        <f t="shared" si="23"/>
        <v>0</v>
      </c>
      <c r="T49" s="725">
        <f t="shared" si="23"/>
        <v>0</v>
      </c>
      <c r="U49" s="725">
        <f t="shared" si="23"/>
        <v>616661.02</v>
      </c>
      <c r="V49" s="725">
        <f t="shared" si="23"/>
        <v>0</v>
      </c>
      <c r="W49" s="725">
        <f t="shared" si="23"/>
        <v>616661.02</v>
      </c>
      <c r="X49" s="725">
        <f t="shared" si="23"/>
        <v>361794</v>
      </c>
      <c r="Y49" s="725">
        <f t="shared" si="23"/>
        <v>361794</v>
      </c>
      <c r="Z49" s="435"/>
      <c r="AA49" s="435"/>
      <c r="AB49" s="435"/>
      <c r="AC49" s="435"/>
      <c r="AD49" s="435"/>
      <c r="AE49" s="435"/>
      <c r="AF49" s="435"/>
      <c r="AG49" s="435"/>
      <c r="AH49" s="435"/>
      <c r="AI49" s="435"/>
      <c r="AJ49" s="435"/>
      <c r="AK49" s="435"/>
      <c r="AL49" s="435"/>
      <c r="AM49" s="435"/>
      <c r="AN49" s="435"/>
      <c r="AO49" s="435"/>
      <c r="AP49" s="435"/>
      <c r="AQ49" s="435"/>
      <c r="AR49" s="435"/>
    </row>
    <row r="50" spans="1:44" ht="17.25" thickBot="1" x14ac:dyDescent="0.35">
      <c r="A50" s="696" t="s">
        <v>160</v>
      </c>
      <c r="B50" s="697"/>
      <c r="C50" s="749">
        <f>C9+C13+C19+C22+C29+C49</f>
        <v>3059593.41</v>
      </c>
      <c r="D50" s="749">
        <f t="shared" ref="D50:Y50" si="24">D9+D13+D19+D22+D29+D49</f>
        <v>-386594.46</v>
      </c>
      <c r="E50" s="749">
        <f t="shared" si="24"/>
        <v>2672998.9500000002</v>
      </c>
      <c r="F50" s="749">
        <f t="shared" si="24"/>
        <v>0</v>
      </c>
      <c r="G50" s="749">
        <f t="shared" si="24"/>
        <v>2672998.9500000002</v>
      </c>
      <c r="H50" s="749">
        <f t="shared" si="24"/>
        <v>2672998.9500000002</v>
      </c>
      <c r="I50" s="749">
        <f t="shared" si="24"/>
        <v>0</v>
      </c>
      <c r="J50" s="749">
        <f t="shared" si="24"/>
        <v>0</v>
      </c>
      <c r="K50" s="749">
        <f t="shared" si="24"/>
        <v>53790</v>
      </c>
      <c r="L50" s="749">
        <f t="shared" si="24"/>
        <v>676030</v>
      </c>
      <c r="M50" s="749">
        <f t="shared" si="24"/>
        <v>49900</v>
      </c>
      <c r="N50" s="749">
        <f t="shared" si="24"/>
        <v>27300</v>
      </c>
      <c r="O50" s="749">
        <f t="shared" si="24"/>
        <v>89445</v>
      </c>
      <c r="P50" s="749">
        <f t="shared" si="24"/>
        <v>568800</v>
      </c>
      <c r="Q50" s="749">
        <f t="shared" si="24"/>
        <v>117136.02</v>
      </c>
      <c r="R50" s="749">
        <f t="shared" si="24"/>
        <v>0</v>
      </c>
      <c r="S50" s="749">
        <f t="shared" si="24"/>
        <v>0</v>
      </c>
      <c r="T50" s="749">
        <f t="shared" si="24"/>
        <v>0</v>
      </c>
      <c r="U50" s="749">
        <f t="shared" si="24"/>
        <v>1582401.02</v>
      </c>
      <c r="V50" s="749">
        <f t="shared" si="24"/>
        <v>0</v>
      </c>
      <c r="W50" s="749">
        <f t="shared" si="24"/>
        <v>1582401.02</v>
      </c>
      <c r="X50" s="749">
        <f t="shared" si="24"/>
        <v>1090597.93</v>
      </c>
      <c r="Y50" s="749">
        <f t="shared" si="24"/>
        <v>1090597.93</v>
      </c>
      <c r="Z50" s="758"/>
      <c r="AA50" s="765"/>
      <c r="AB50" s="758"/>
      <c r="AC50" s="758"/>
      <c r="AD50" s="747"/>
      <c r="AE50" s="747"/>
    </row>
    <row r="51" spans="1:44" ht="15.75" thickTop="1" x14ac:dyDescent="0.25">
      <c r="A51" s="714"/>
      <c r="B51" s="709"/>
      <c r="C51" s="35"/>
      <c r="D51" s="35"/>
      <c r="E51" s="35"/>
      <c r="F51" s="35"/>
      <c r="G51" s="35"/>
    </row>
    <row r="52" spans="1:44" x14ac:dyDescent="0.25">
      <c r="A52" s="714"/>
      <c r="B52" s="709"/>
      <c r="C52" s="35"/>
      <c r="D52" s="35"/>
      <c r="E52" s="35"/>
      <c r="F52" s="35"/>
      <c r="G52" s="35"/>
    </row>
    <row r="53" spans="1:44" x14ac:dyDescent="0.25">
      <c r="A53" s="951" t="s">
        <v>354</v>
      </c>
      <c r="B53" s="30"/>
      <c r="C53" s="35"/>
      <c r="D53" s="35"/>
      <c r="E53" s="35"/>
      <c r="F53" s="35"/>
      <c r="G53" s="35"/>
      <c r="W53" s="743" t="s">
        <v>357</v>
      </c>
    </row>
    <row r="54" spans="1:44" x14ac:dyDescent="0.25">
      <c r="B54" s="988"/>
      <c r="C54" s="36"/>
      <c r="D54" s="36"/>
      <c r="E54" s="36"/>
      <c r="F54" s="36"/>
      <c r="G54" s="36"/>
    </row>
    <row r="55" spans="1:44" x14ac:dyDescent="0.25">
      <c r="A55" s="742"/>
      <c r="B55" s="710"/>
      <c r="C55" s="31"/>
      <c r="D55" s="31"/>
      <c r="E55" s="31"/>
      <c r="F55" s="31"/>
      <c r="G55" s="31"/>
      <c r="W55" s="744"/>
    </row>
    <row r="56" spans="1:44" x14ac:dyDescent="0.25">
      <c r="A56" s="743"/>
      <c r="W56" s="743"/>
    </row>
    <row r="57" spans="1:44" x14ac:dyDescent="0.25">
      <c r="A57" s="742" t="s">
        <v>355</v>
      </c>
      <c r="B57" s="710"/>
      <c r="C57" s="31"/>
      <c r="D57" s="31"/>
      <c r="E57" s="31"/>
      <c r="F57" s="31"/>
      <c r="G57" s="31"/>
      <c r="W57" s="744" t="s">
        <v>358</v>
      </c>
    </row>
    <row r="58" spans="1:44" x14ac:dyDescent="0.25">
      <c r="A58" s="743" t="s">
        <v>356</v>
      </c>
      <c r="W58" s="743" t="s">
        <v>359</v>
      </c>
    </row>
  </sheetData>
  <mergeCells count="13">
    <mergeCell ref="C14:C15"/>
    <mergeCell ref="E14:E15"/>
    <mergeCell ref="C20:C21"/>
    <mergeCell ref="E20:E21"/>
    <mergeCell ref="C30:C31"/>
    <mergeCell ref="E30:E31"/>
    <mergeCell ref="C10:C11"/>
    <mergeCell ref="E10:E11"/>
    <mergeCell ref="A1:Y1"/>
    <mergeCell ref="A2:Y2"/>
    <mergeCell ref="A3:Y3"/>
    <mergeCell ref="C6:C7"/>
    <mergeCell ref="E6:E7"/>
  </mergeCells>
  <printOptions horizontalCentered="1" verticalCentered="1" headings="1"/>
  <pageMargins left="0.7" right="0.2" top="1" bottom="0.25" header="0.3" footer="0.3"/>
  <pageSetup paperSize="5" scale="80" orientation="landscape" horizontalDpi="300" verticalDpi="300" r:id="rId1"/>
  <rowBreaks count="1" manualBreakCount="1">
    <brk id="33" max="2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zoomScaleNormal="100" workbookViewId="0">
      <pane xSplit="1" topLeftCell="V1" activePane="topRight" state="frozen"/>
      <selection activeCell="A13" sqref="A13"/>
      <selection pane="topRight" activeCell="W33" sqref="W33"/>
    </sheetView>
  </sheetViews>
  <sheetFormatPr defaultRowHeight="15" outlineLevelCol="1" x14ac:dyDescent="0.25"/>
  <cols>
    <col min="1" max="1" width="49.7109375" customWidth="1"/>
    <col min="2" max="2" width="12.7109375" customWidth="1"/>
    <col min="3" max="3" width="13.28515625" customWidth="1"/>
    <col min="4" max="4" width="13.28515625" style="951" hidden="1" customWidth="1"/>
    <col min="5" max="5" width="13.28515625" customWidth="1"/>
    <col min="6" max="6" width="13.28515625" hidden="1" customWidth="1"/>
    <col min="7" max="7" width="13.28515625" customWidth="1"/>
    <col min="8" max="8" width="12.7109375" style="2" customWidth="1"/>
    <col min="9" max="20" width="12.7109375" style="2" hidden="1" customWidth="1" outlineLevel="1"/>
    <col min="21" max="21" width="12.7109375" style="2" customWidth="1" collapsed="1"/>
    <col min="22" max="22" width="12.7109375" customWidth="1"/>
    <col min="23" max="23" width="14.28515625" customWidth="1"/>
    <col min="24" max="24" width="14" customWidth="1"/>
    <col min="25" max="25" width="13" style="382" customWidth="1"/>
    <col min="26" max="44" width="9.140625" style="734"/>
  </cols>
  <sheetData>
    <row r="1" spans="1:44" x14ac:dyDescent="0.25">
      <c r="A1" s="1432" t="s">
        <v>352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1432"/>
      <c r="M1" s="1432"/>
      <c r="N1" s="1432"/>
      <c r="O1" s="1432"/>
      <c r="P1" s="1432"/>
      <c r="Q1" s="1432"/>
      <c r="R1" s="1432"/>
      <c r="S1" s="1432"/>
      <c r="T1" s="1432"/>
      <c r="U1" s="1432"/>
      <c r="V1" s="1432"/>
      <c r="W1" s="1432"/>
      <c r="X1" s="1432"/>
      <c r="Y1" s="1432"/>
    </row>
    <row r="2" spans="1:44" x14ac:dyDescent="0.25">
      <c r="A2" s="1432" t="s">
        <v>962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1432"/>
      <c r="Y2" s="1432"/>
    </row>
    <row r="3" spans="1:44" ht="15.75" thickBot="1" x14ac:dyDescent="0.3">
      <c r="A3" s="1433" t="str">
        <f>'9997-SPA'!A3:AA3</f>
        <v>For the Period October 1-31, 2021</v>
      </c>
      <c r="B3" s="1433"/>
      <c r="C3" s="1433"/>
      <c r="D3" s="1433"/>
      <c r="E3" s="1433"/>
      <c r="F3" s="1433"/>
      <c r="G3" s="1433"/>
      <c r="H3" s="1433"/>
      <c r="I3" s="1433"/>
      <c r="J3" s="1433"/>
      <c r="K3" s="1433"/>
      <c r="L3" s="1433"/>
      <c r="M3" s="1433"/>
      <c r="N3" s="1433"/>
      <c r="O3" s="1433"/>
      <c r="P3" s="1433"/>
      <c r="Q3" s="1433"/>
      <c r="R3" s="1433"/>
      <c r="S3" s="1433"/>
      <c r="T3" s="1433"/>
      <c r="U3" s="1433"/>
      <c r="V3" s="1433"/>
      <c r="W3" s="1433"/>
      <c r="X3" s="1433"/>
      <c r="Y3" s="1433"/>
    </row>
    <row r="4" spans="1:44" ht="15.75" thickTop="1" x14ac:dyDescent="0.25">
      <c r="A4" s="679" t="s">
        <v>347</v>
      </c>
      <c r="B4" s="679" t="s">
        <v>2</v>
      </c>
      <c r="C4" s="680" t="s">
        <v>134</v>
      </c>
      <c r="D4" s="1073"/>
      <c r="E4" s="680" t="s">
        <v>1</v>
      </c>
      <c r="F4" s="680" t="s">
        <v>316</v>
      </c>
      <c r="G4" s="680" t="s">
        <v>314</v>
      </c>
      <c r="H4" s="680" t="s">
        <v>346</v>
      </c>
      <c r="I4" s="681"/>
      <c r="J4" s="681"/>
      <c r="K4" s="681"/>
      <c r="L4" s="681"/>
      <c r="M4" s="682"/>
      <c r="N4" s="682"/>
      <c r="O4" s="682"/>
      <c r="P4" s="682"/>
      <c r="Q4" s="682"/>
      <c r="R4" s="682"/>
      <c r="S4" s="682"/>
      <c r="T4" s="682"/>
      <c r="U4" s="680" t="s">
        <v>316</v>
      </c>
      <c r="V4" s="680" t="s">
        <v>348</v>
      </c>
      <c r="W4" s="680" t="s">
        <v>1</v>
      </c>
      <c r="X4" s="680" t="s">
        <v>131</v>
      </c>
      <c r="Y4" s="755" t="s">
        <v>131</v>
      </c>
    </row>
    <row r="5" spans="1:44" ht="15.75" thickBot="1" x14ac:dyDescent="0.3">
      <c r="A5" s="672"/>
      <c r="B5" s="672" t="s">
        <v>3</v>
      </c>
      <c r="C5" s="669" t="s">
        <v>351</v>
      </c>
      <c r="D5" s="1101"/>
      <c r="E5" s="669" t="s">
        <v>314</v>
      </c>
      <c r="F5" s="669" t="s">
        <v>314</v>
      </c>
      <c r="G5" s="669" t="s">
        <v>315</v>
      </c>
      <c r="H5" s="669" t="s">
        <v>315</v>
      </c>
      <c r="I5" s="669" t="s">
        <v>0</v>
      </c>
      <c r="J5" s="669" t="s">
        <v>120</v>
      </c>
      <c r="K5" s="669" t="s">
        <v>121</v>
      </c>
      <c r="L5" s="669" t="s">
        <v>122</v>
      </c>
      <c r="M5" s="669" t="s">
        <v>123</v>
      </c>
      <c r="N5" s="669" t="s">
        <v>124</v>
      </c>
      <c r="O5" s="669" t="s">
        <v>963</v>
      </c>
      <c r="P5" s="669" t="s">
        <v>964</v>
      </c>
      <c r="Q5" s="669" t="s">
        <v>965</v>
      </c>
      <c r="R5" s="669" t="s">
        <v>966</v>
      </c>
      <c r="S5" s="669" t="s">
        <v>967</v>
      </c>
      <c r="T5" s="669" t="s">
        <v>968</v>
      </c>
      <c r="U5" s="669" t="s">
        <v>317</v>
      </c>
      <c r="V5" s="669" t="s">
        <v>315</v>
      </c>
      <c r="W5" s="669" t="s">
        <v>317</v>
      </c>
      <c r="X5" s="669" t="s">
        <v>314</v>
      </c>
      <c r="Y5" s="752" t="s">
        <v>132</v>
      </c>
    </row>
    <row r="6" spans="1:44" ht="15.75" customHeight="1" thickTop="1" x14ac:dyDescent="0.25">
      <c r="A6" s="685"/>
      <c r="B6" s="686"/>
      <c r="C6" s="1447">
        <v>2014</v>
      </c>
      <c r="D6" s="1143"/>
      <c r="E6" s="1447">
        <v>2014</v>
      </c>
      <c r="F6" s="687"/>
      <c r="G6" s="687"/>
      <c r="H6" s="687"/>
      <c r="I6" s="687"/>
      <c r="J6" s="687"/>
      <c r="K6" s="687"/>
      <c r="L6" s="687"/>
      <c r="M6" s="687"/>
      <c r="N6" s="687"/>
      <c r="O6" s="687"/>
      <c r="P6" s="687"/>
      <c r="Q6" s="687"/>
      <c r="R6" s="687"/>
      <c r="S6" s="687"/>
      <c r="T6" s="687"/>
      <c r="U6" s="687"/>
      <c r="V6" s="687"/>
      <c r="W6" s="687"/>
      <c r="X6" s="687"/>
      <c r="Y6" s="756"/>
      <c r="Z6" s="759"/>
      <c r="AA6" s="759"/>
      <c r="AB6" s="759"/>
      <c r="AC6" s="759"/>
    </row>
    <row r="7" spans="1:44" ht="15.75" customHeight="1" x14ac:dyDescent="0.25">
      <c r="A7" s="659"/>
      <c r="B7" s="667"/>
      <c r="C7" s="1448"/>
      <c r="D7" s="1144"/>
      <c r="E7" s="1448"/>
      <c r="F7" s="668"/>
      <c r="G7" s="668"/>
      <c r="H7" s="668"/>
      <c r="I7" s="668"/>
      <c r="J7" s="668"/>
      <c r="K7" s="668"/>
      <c r="L7" s="668"/>
      <c r="M7" s="668"/>
      <c r="N7" s="668"/>
      <c r="O7" s="668"/>
      <c r="P7" s="668"/>
      <c r="Q7" s="668"/>
      <c r="R7" s="668"/>
      <c r="S7" s="668"/>
      <c r="T7" s="668"/>
      <c r="U7" s="668"/>
      <c r="V7" s="668"/>
      <c r="W7" s="668"/>
      <c r="X7" s="668"/>
      <c r="Y7" s="757"/>
      <c r="Z7" s="759"/>
      <c r="AA7" s="759"/>
      <c r="AB7" s="759"/>
      <c r="AC7" s="759"/>
    </row>
    <row r="8" spans="1:44" ht="15" customHeight="1" x14ac:dyDescent="0.25">
      <c r="A8" s="661" t="s">
        <v>305</v>
      </c>
      <c r="B8" s="675"/>
      <c r="C8" s="662">
        <v>150000</v>
      </c>
      <c r="D8" s="1142"/>
      <c r="E8" s="665">
        <f>SUM(C8)+D8</f>
        <v>150000</v>
      </c>
      <c r="F8" s="665"/>
      <c r="G8" s="665">
        <f>E8</f>
        <v>150000</v>
      </c>
      <c r="H8" s="664">
        <f>E8</f>
        <v>150000</v>
      </c>
      <c r="I8" s="673"/>
      <c r="J8" s="673"/>
      <c r="K8" s="673"/>
      <c r="L8" s="673"/>
      <c r="M8" s="673"/>
      <c r="N8" s="673"/>
      <c r="O8" s="673"/>
      <c r="P8" s="673"/>
      <c r="Q8" s="673"/>
      <c r="R8" s="673"/>
      <c r="S8" s="673"/>
      <c r="T8" s="673"/>
      <c r="U8" s="673">
        <f>I8+J8+K8+L8+M8+N8+O8+P8+Q8</f>
        <v>0</v>
      </c>
      <c r="V8" s="664">
        <f>R8</f>
        <v>0</v>
      </c>
      <c r="W8" s="670">
        <f>U8+V8</f>
        <v>0</v>
      </c>
      <c r="X8" s="664">
        <f>H8-W8</f>
        <v>150000</v>
      </c>
      <c r="Y8" s="746">
        <f>E8-W8</f>
        <v>150000</v>
      </c>
      <c r="Z8" s="759"/>
      <c r="AA8" s="759"/>
      <c r="AB8" s="759"/>
      <c r="AC8" s="759"/>
    </row>
    <row r="9" spans="1:44" s="37" customFormat="1" x14ac:dyDescent="0.25">
      <c r="A9" s="698" t="s">
        <v>304</v>
      </c>
      <c r="B9" s="678"/>
      <c r="C9" s="671">
        <f>SUM(C8:C8)</f>
        <v>150000</v>
      </c>
      <c r="D9" s="170"/>
      <c r="E9" s="726">
        <f t="shared" ref="E9:T9" si="0">SUM(E8:E8)</f>
        <v>150000</v>
      </c>
      <c r="F9" s="726">
        <f t="shared" si="0"/>
        <v>0</v>
      </c>
      <c r="G9" s="726">
        <f t="shared" si="0"/>
        <v>150000</v>
      </c>
      <c r="H9" s="726">
        <f t="shared" si="0"/>
        <v>150000</v>
      </c>
      <c r="I9" s="726">
        <f t="shared" si="0"/>
        <v>0</v>
      </c>
      <c r="J9" s="726">
        <f t="shared" si="0"/>
        <v>0</v>
      </c>
      <c r="K9" s="726">
        <f t="shared" si="0"/>
        <v>0</v>
      </c>
      <c r="L9" s="726">
        <f t="shared" si="0"/>
        <v>0</v>
      </c>
      <c r="M9" s="726">
        <f t="shared" si="0"/>
        <v>0</v>
      </c>
      <c r="N9" s="726">
        <f t="shared" si="0"/>
        <v>0</v>
      </c>
      <c r="O9" s="726">
        <f t="shared" si="0"/>
        <v>0</v>
      </c>
      <c r="P9" s="726">
        <f t="shared" si="0"/>
        <v>0</v>
      </c>
      <c r="Q9" s="726">
        <f t="shared" si="0"/>
        <v>0</v>
      </c>
      <c r="R9" s="726">
        <f t="shared" si="0"/>
        <v>0</v>
      </c>
      <c r="S9" s="726">
        <f t="shared" si="0"/>
        <v>0</v>
      </c>
      <c r="T9" s="726">
        <f t="shared" si="0"/>
        <v>0</v>
      </c>
      <c r="U9" s="726">
        <f>SUM(U8:U8)</f>
        <v>0</v>
      </c>
      <c r="V9" s="726">
        <f t="shared" ref="V9" si="1">SUM(V8:V8)</f>
        <v>0</v>
      </c>
      <c r="W9" s="726">
        <f t="shared" ref="W9" si="2">SUM(W8:W8)</f>
        <v>0</v>
      </c>
      <c r="X9" s="726">
        <f t="shared" ref="X9" si="3">SUM(X8:X8)</f>
        <v>150000</v>
      </c>
      <c r="Y9" s="170">
        <f t="shared" ref="Y9" si="4">SUM(Y8:Y8)</f>
        <v>150000</v>
      </c>
      <c r="Z9" s="761"/>
      <c r="AA9" s="761"/>
      <c r="AB9" s="761"/>
      <c r="AC9" s="748"/>
      <c r="AD9" s="762"/>
      <c r="AE9" s="762"/>
      <c r="AF9" s="435"/>
      <c r="AG9" s="435"/>
      <c r="AH9" s="435"/>
      <c r="AI9" s="435"/>
      <c r="AJ9" s="435"/>
      <c r="AK9" s="435"/>
      <c r="AL9" s="435"/>
      <c r="AM9" s="435"/>
      <c r="AN9" s="435"/>
      <c r="AO9" s="435"/>
      <c r="AP9" s="435"/>
      <c r="AQ9" s="435"/>
      <c r="AR9" s="435"/>
    </row>
    <row r="10" spans="1:44" ht="15" customHeight="1" x14ac:dyDescent="0.25">
      <c r="A10" s="684"/>
      <c r="B10" s="683"/>
      <c r="C10" s="1445">
        <v>2015</v>
      </c>
      <c r="D10" s="1145"/>
      <c r="E10" s="1445">
        <v>2015</v>
      </c>
      <c r="F10" s="677"/>
      <c r="G10" s="665"/>
      <c r="H10" s="664"/>
      <c r="I10" s="673"/>
      <c r="J10" s="673"/>
      <c r="K10" s="673"/>
      <c r="L10" s="673"/>
      <c r="M10" s="673"/>
      <c r="N10" s="673"/>
      <c r="O10" s="673"/>
      <c r="P10" s="673"/>
      <c r="Q10" s="673"/>
      <c r="R10" s="673"/>
      <c r="S10" s="673"/>
      <c r="T10" s="673"/>
      <c r="U10" s="673"/>
      <c r="V10" s="664"/>
      <c r="W10" s="670"/>
      <c r="X10" s="664"/>
      <c r="Y10" s="746"/>
      <c r="Z10" s="759"/>
      <c r="AA10" s="759"/>
      <c r="AB10" s="759"/>
      <c r="AC10" s="760"/>
    </row>
    <row r="11" spans="1:44" ht="15" customHeight="1" x14ac:dyDescent="0.25">
      <c r="A11" s="684"/>
      <c r="B11" s="683"/>
      <c r="C11" s="1446"/>
      <c r="D11" s="1095"/>
      <c r="E11" s="1446"/>
      <c r="F11" s="677"/>
      <c r="G11" s="665"/>
      <c r="H11" s="664"/>
      <c r="I11" s="673"/>
      <c r="J11" s="673"/>
      <c r="K11" s="673"/>
      <c r="L11" s="673"/>
      <c r="M11" s="673"/>
      <c r="N11" s="673"/>
      <c r="O11" s="673"/>
      <c r="P11" s="673"/>
      <c r="Q11" s="673"/>
      <c r="R11" s="673"/>
      <c r="S11" s="673"/>
      <c r="T11" s="673"/>
      <c r="U11" s="673"/>
      <c r="V11" s="664"/>
      <c r="W11" s="670"/>
      <c r="X11" s="664"/>
      <c r="Y11" s="746"/>
      <c r="Z11" s="759"/>
      <c r="AA11" s="759"/>
      <c r="AB11" s="759"/>
      <c r="AC11" s="760"/>
    </row>
    <row r="12" spans="1:44" ht="26.25" x14ac:dyDescent="0.25">
      <c r="A12" s="690" t="s">
        <v>306</v>
      </c>
      <c r="B12" s="676"/>
      <c r="C12" s="662">
        <v>102000</v>
      </c>
      <c r="D12" s="1142"/>
      <c r="E12" s="720">
        <f>SUM(C12)+D12</f>
        <v>102000</v>
      </c>
      <c r="F12" s="665"/>
      <c r="G12" s="720">
        <f>E12</f>
        <v>102000</v>
      </c>
      <c r="H12" s="718">
        <f>E12</f>
        <v>102000</v>
      </c>
      <c r="I12" s="673"/>
      <c r="J12" s="673"/>
      <c r="K12" s="673"/>
      <c r="L12" s="673"/>
      <c r="M12" s="673"/>
      <c r="N12" s="673"/>
      <c r="O12" s="673"/>
      <c r="P12" s="673"/>
      <c r="Q12" s="673"/>
      <c r="R12" s="673"/>
      <c r="S12" s="673"/>
      <c r="T12" s="673"/>
      <c r="U12" s="673">
        <f t="shared" ref="U12:U18" si="5">I12+J12+K12+L12+M12+N12+O12+P12+Q12</f>
        <v>0</v>
      </c>
      <c r="V12" s="718">
        <f t="shared" ref="V12:V18" si="6">R12</f>
        <v>0</v>
      </c>
      <c r="W12" s="725">
        <f>U12+V12</f>
        <v>0</v>
      </c>
      <c r="X12" s="718">
        <f>H12-W12</f>
        <v>102000</v>
      </c>
      <c r="Y12" s="746">
        <f>E12-W12</f>
        <v>102000</v>
      </c>
      <c r="Z12" s="759"/>
      <c r="AA12" s="759"/>
      <c r="AB12" s="759"/>
      <c r="AC12" s="760"/>
    </row>
    <row r="13" spans="1:44" x14ac:dyDescent="0.25">
      <c r="A13" s="699" t="s">
        <v>304</v>
      </c>
      <c r="B13" s="676"/>
      <c r="C13" s="671">
        <f>SUM(C12)</f>
        <v>102000</v>
      </c>
      <c r="D13" s="170"/>
      <c r="E13" s="726">
        <f t="shared" ref="E13:Y13" si="7">SUM(E12)</f>
        <v>102000</v>
      </c>
      <c r="F13" s="726">
        <f t="shared" si="7"/>
        <v>0</v>
      </c>
      <c r="G13" s="726">
        <f t="shared" si="7"/>
        <v>102000</v>
      </c>
      <c r="H13" s="726">
        <f t="shared" si="7"/>
        <v>102000</v>
      </c>
      <c r="I13" s="726">
        <f t="shared" si="7"/>
        <v>0</v>
      </c>
      <c r="J13" s="726">
        <f t="shared" si="7"/>
        <v>0</v>
      </c>
      <c r="K13" s="726">
        <f t="shared" si="7"/>
        <v>0</v>
      </c>
      <c r="L13" s="726">
        <f t="shared" si="7"/>
        <v>0</v>
      </c>
      <c r="M13" s="726">
        <f t="shared" si="7"/>
        <v>0</v>
      </c>
      <c r="N13" s="726">
        <f t="shared" si="7"/>
        <v>0</v>
      </c>
      <c r="O13" s="726">
        <f t="shared" si="7"/>
        <v>0</v>
      </c>
      <c r="P13" s="726">
        <f t="shared" si="7"/>
        <v>0</v>
      </c>
      <c r="Q13" s="726">
        <f t="shared" si="7"/>
        <v>0</v>
      </c>
      <c r="R13" s="726">
        <f t="shared" si="7"/>
        <v>0</v>
      </c>
      <c r="S13" s="726">
        <f t="shared" si="7"/>
        <v>0</v>
      </c>
      <c r="T13" s="726">
        <f t="shared" si="7"/>
        <v>0</v>
      </c>
      <c r="U13" s="673">
        <f t="shared" si="5"/>
        <v>0</v>
      </c>
      <c r="V13" s="718">
        <f t="shared" si="6"/>
        <v>0</v>
      </c>
      <c r="W13" s="726">
        <f t="shared" si="7"/>
        <v>0</v>
      </c>
      <c r="X13" s="726">
        <f t="shared" si="7"/>
        <v>102000</v>
      </c>
      <c r="Y13" s="170">
        <f t="shared" si="7"/>
        <v>102000</v>
      </c>
      <c r="Z13" s="758"/>
      <c r="AA13" s="758"/>
      <c r="AB13" s="758"/>
      <c r="AC13" s="748"/>
      <c r="AD13" s="747"/>
      <c r="AE13" s="747"/>
    </row>
    <row r="14" spans="1:44" ht="15.75" x14ac:dyDescent="0.25">
      <c r="A14" s="689"/>
      <c r="B14" s="676"/>
      <c r="C14" s="1445">
        <v>2017</v>
      </c>
      <c r="D14" s="1145"/>
      <c r="E14" s="1445">
        <v>2017</v>
      </c>
      <c r="F14" s="665"/>
      <c r="G14" s="665"/>
      <c r="H14" s="664"/>
      <c r="I14" s="673"/>
      <c r="J14" s="673"/>
      <c r="K14" s="673"/>
      <c r="L14" s="673"/>
      <c r="M14" s="673"/>
      <c r="N14" s="673"/>
      <c r="O14" s="673"/>
      <c r="P14" s="673"/>
      <c r="Q14" s="673"/>
      <c r="R14" s="673"/>
      <c r="S14" s="673"/>
      <c r="T14" s="673"/>
      <c r="U14" s="673">
        <f t="shared" si="5"/>
        <v>0</v>
      </c>
      <c r="V14" s="718">
        <f t="shared" si="6"/>
        <v>0</v>
      </c>
      <c r="W14" s="670"/>
      <c r="X14" s="664"/>
      <c r="Y14" s="746"/>
      <c r="Z14" s="759"/>
      <c r="AA14" s="759"/>
      <c r="AB14" s="759"/>
      <c r="AC14" s="760"/>
    </row>
    <row r="15" spans="1:44" ht="15" customHeight="1" x14ac:dyDescent="0.25">
      <c r="A15" s="684"/>
      <c r="B15" s="676"/>
      <c r="C15" s="1446"/>
      <c r="D15" s="1095"/>
      <c r="E15" s="1446"/>
      <c r="F15" s="665"/>
      <c r="G15" s="665"/>
      <c r="H15" s="664"/>
      <c r="I15" s="673"/>
      <c r="J15" s="673"/>
      <c r="K15" s="673"/>
      <c r="L15" s="673"/>
      <c r="M15" s="673"/>
      <c r="N15" s="673"/>
      <c r="O15" s="673"/>
      <c r="P15" s="673"/>
      <c r="Q15" s="673"/>
      <c r="R15" s="673"/>
      <c r="S15" s="673"/>
      <c r="T15" s="673"/>
      <c r="U15" s="673">
        <f t="shared" si="5"/>
        <v>0</v>
      </c>
      <c r="V15" s="718">
        <f t="shared" si="6"/>
        <v>0</v>
      </c>
      <c r="W15" s="670"/>
      <c r="X15" s="664"/>
      <c r="Y15" s="746"/>
      <c r="Z15" s="759"/>
      <c r="AA15" s="759"/>
      <c r="AB15" s="759"/>
      <c r="AC15" s="760"/>
    </row>
    <row r="16" spans="1:44" x14ac:dyDescent="0.25">
      <c r="A16" s="663" t="s">
        <v>308</v>
      </c>
      <c r="B16" s="676"/>
      <c r="C16" s="662">
        <v>68000</v>
      </c>
      <c r="D16" s="1142"/>
      <c r="E16" s="720">
        <f>SUM(C16)+D16</f>
        <v>68000</v>
      </c>
      <c r="F16" s="665"/>
      <c r="G16" s="720">
        <f t="shared" ref="G16:G18" si="8">E16</f>
        <v>68000</v>
      </c>
      <c r="H16" s="718">
        <f>E16</f>
        <v>68000</v>
      </c>
      <c r="I16" s="673"/>
      <c r="J16" s="673"/>
      <c r="K16" s="673"/>
      <c r="L16" s="673"/>
      <c r="M16" s="673"/>
      <c r="N16" s="673"/>
      <c r="O16" s="673"/>
      <c r="P16" s="673"/>
      <c r="Q16" s="673"/>
      <c r="R16" s="673"/>
      <c r="S16" s="673"/>
      <c r="T16" s="673"/>
      <c r="U16" s="673">
        <f t="shared" si="5"/>
        <v>0</v>
      </c>
      <c r="V16" s="718">
        <f t="shared" si="6"/>
        <v>0</v>
      </c>
      <c r="W16" s="725">
        <f t="shared" ref="W16:W18" si="9">U16+V16</f>
        <v>0</v>
      </c>
      <c r="X16" s="718">
        <f t="shared" ref="X16:X18" si="10">H16-W16</f>
        <v>68000</v>
      </c>
      <c r="Y16" s="746">
        <f>E16-W16</f>
        <v>68000</v>
      </c>
      <c r="Z16" s="759"/>
      <c r="AA16" s="759"/>
      <c r="AB16" s="759"/>
      <c r="AC16" s="760"/>
    </row>
    <row r="17" spans="1:44" ht="26.25" x14ac:dyDescent="0.25">
      <c r="A17" s="663" t="s">
        <v>309</v>
      </c>
      <c r="B17" s="676"/>
      <c r="C17" s="662">
        <v>75000</v>
      </c>
      <c r="D17" s="1141"/>
      <c r="E17" s="720">
        <f>SUM(C17)+D17</f>
        <v>75000</v>
      </c>
      <c r="F17" s="665"/>
      <c r="G17" s="720">
        <f t="shared" si="8"/>
        <v>75000</v>
      </c>
      <c r="H17" s="718">
        <f>E17</f>
        <v>75000</v>
      </c>
      <c r="I17" s="673"/>
      <c r="J17" s="673"/>
      <c r="K17" s="673"/>
      <c r="L17" s="673"/>
      <c r="M17" s="673"/>
      <c r="N17" s="673"/>
      <c r="O17" s="673"/>
      <c r="P17" s="673"/>
      <c r="Q17" s="673"/>
      <c r="R17" s="673"/>
      <c r="S17" s="673"/>
      <c r="T17" s="673"/>
      <c r="U17" s="673">
        <f t="shared" si="5"/>
        <v>0</v>
      </c>
      <c r="V17" s="718">
        <f t="shared" si="6"/>
        <v>0</v>
      </c>
      <c r="W17" s="725">
        <f t="shared" si="9"/>
        <v>0</v>
      </c>
      <c r="X17" s="718">
        <f t="shared" si="10"/>
        <v>75000</v>
      </c>
      <c r="Y17" s="746">
        <f>E17-W17</f>
        <v>75000</v>
      </c>
      <c r="Z17" s="759"/>
      <c r="AA17" s="759"/>
      <c r="AB17" s="759"/>
      <c r="AC17" s="760"/>
    </row>
    <row r="18" spans="1:44" x14ac:dyDescent="0.25">
      <c r="A18" s="663" t="s">
        <v>310</v>
      </c>
      <c r="B18" s="676"/>
      <c r="C18" s="662">
        <v>540000</v>
      </c>
      <c r="D18" s="1141"/>
      <c r="E18" s="720">
        <f>SUM(C18)+D18</f>
        <v>540000</v>
      </c>
      <c r="F18" s="665"/>
      <c r="G18" s="720">
        <f t="shared" si="8"/>
        <v>540000</v>
      </c>
      <c r="H18" s="718">
        <f>E18</f>
        <v>540000</v>
      </c>
      <c r="I18" s="673"/>
      <c r="J18" s="673"/>
      <c r="K18" s="673"/>
      <c r="L18" s="673"/>
      <c r="M18" s="673"/>
      <c r="N18" s="673"/>
      <c r="O18" s="673"/>
      <c r="P18" s="673">
        <v>501000</v>
      </c>
      <c r="Q18" s="673"/>
      <c r="R18" s="673"/>
      <c r="S18" s="673"/>
      <c r="T18" s="673"/>
      <c r="U18" s="673">
        <f t="shared" si="5"/>
        <v>501000</v>
      </c>
      <c r="V18" s="718">
        <f t="shared" si="6"/>
        <v>0</v>
      </c>
      <c r="W18" s="725">
        <f t="shared" si="9"/>
        <v>501000</v>
      </c>
      <c r="X18" s="718">
        <f t="shared" si="10"/>
        <v>39000</v>
      </c>
      <c r="Y18" s="746">
        <f>E18-W18</f>
        <v>39000</v>
      </c>
      <c r="Z18" s="759"/>
      <c r="AA18" s="759"/>
      <c r="AB18" s="759"/>
      <c r="AC18" s="760"/>
    </row>
    <row r="19" spans="1:44" x14ac:dyDescent="0.25">
      <c r="A19" s="698" t="s">
        <v>304</v>
      </c>
      <c r="B19" s="676"/>
      <c r="C19" s="671">
        <f>SUM(C16:C18)</f>
        <v>683000</v>
      </c>
      <c r="D19" s="726">
        <f t="shared" ref="D19:Y19" si="11">SUM(D16:D18)</f>
        <v>0</v>
      </c>
      <c r="E19" s="726">
        <f t="shared" si="11"/>
        <v>683000</v>
      </c>
      <c r="F19" s="726">
        <f t="shared" si="11"/>
        <v>0</v>
      </c>
      <c r="G19" s="726">
        <f t="shared" si="11"/>
        <v>683000</v>
      </c>
      <c r="H19" s="726">
        <f t="shared" si="11"/>
        <v>683000</v>
      </c>
      <c r="I19" s="726">
        <f t="shared" si="11"/>
        <v>0</v>
      </c>
      <c r="J19" s="726">
        <f t="shared" si="11"/>
        <v>0</v>
      </c>
      <c r="K19" s="726">
        <f t="shared" si="11"/>
        <v>0</v>
      </c>
      <c r="L19" s="726">
        <f t="shared" si="11"/>
        <v>0</v>
      </c>
      <c r="M19" s="726">
        <f t="shared" si="11"/>
        <v>0</v>
      </c>
      <c r="N19" s="726">
        <f t="shared" si="11"/>
        <v>0</v>
      </c>
      <c r="O19" s="726">
        <f t="shared" si="11"/>
        <v>0</v>
      </c>
      <c r="P19" s="726">
        <f t="shared" si="11"/>
        <v>501000</v>
      </c>
      <c r="Q19" s="726">
        <f t="shared" si="11"/>
        <v>0</v>
      </c>
      <c r="R19" s="726">
        <f t="shared" si="11"/>
        <v>0</v>
      </c>
      <c r="S19" s="726">
        <f t="shared" si="11"/>
        <v>0</v>
      </c>
      <c r="T19" s="726">
        <f t="shared" si="11"/>
        <v>0</v>
      </c>
      <c r="U19" s="726">
        <f t="shared" si="11"/>
        <v>501000</v>
      </c>
      <c r="V19" s="726">
        <f t="shared" si="11"/>
        <v>0</v>
      </c>
      <c r="W19" s="726">
        <f t="shared" si="11"/>
        <v>501000</v>
      </c>
      <c r="X19" s="726">
        <f t="shared" si="11"/>
        <v>182000</v>
      </c>
      <c r="Y19" s="170">
        <f t="shared" si="11"/>
        <v>182000</v>
      </c>
      <c r="Z19" s="758"/>
      <c r="AA19" s="758"/>
      <c r="AB19" s="758"/>
      <c r="AC19" s="748"/>
      <c r="AD19" s="747"/>
      <c r="AE19" s="747"/>
    </row>
    <row r="20" spans="1:44" ht="15.75" x14ac:dyDescent="0.25">
      <c r="A20" s="684"/>
      <c r="B20" s="676"/>
      <c r="C20" s="1445">
        <v>2018</v>
      </c>
      <c r="D20" s="1136"/>
      <c r="E20" s="1445">
        <v>2018</v>
      </c>
      <c r="F20" s="666"/>
      <c r="G20" s="665"/>
      <c r="H20" s="664"/>
      <c r="I20" s="673"/>
      <c r="J20" s="673"/>
      <c r="K20" s="673"/>
      <c r="L20" s="673"/>
      <c r="M20" s="673"/>
      <c r="N20" s="673"/>
      <c r="O20" s="673"/>
      <c r="P20" s="673"/>
      <c r="Q20" s="673"/>
      <c r="R20" s="673"/>
      <c r="S20" s="673"/>
      <c r="T20" s="673"/>
      <c r="U20" s="673"/>
      <c r="V20" s="664"/>
      <c r="W20" s="670"/>
      <c r="X20" s="664"/>
      <c r="Y20" s="746"/>
      <c r="Z20" s="759"/>
      <c r="AA20" s="759"/>
      <c r="AB20" s="759"/>
      <c r="AC20" s="760"/>
    </row>
    <row r="21" spans="1:44" ht="15.75" x14ac:dyDescent="0.25">
      <c r="A21" s="660"/>
      <c r="B21" s="676"/>
      <c r="C21" s="1446"/>
      <c r="D21" s="1137"/>
      <c r="E21" s="1446"/>
      <c r="F21" s="666"/>
      <c r="G21" s="665"/>
      <c r="H21" s="664"/>
      <c r="I21" s="673"/>
      <c r="J21" s="673"/>
      <c r="K21" s="673"/>
      <c r="L21" s="673"/>
      <c r="M21" s="673"/>
      <c r="N21" s="673"/>
      <c r="O21" s="673"/>
      <c r="P21" s="673"/>
      <c r="Q21" s="673"/>
      <c r="R21" s="673"/>
      <c r="S21" s="673"/>
      <c r="T21" s="673"/>
      <c r="U21" s="673"/>
      <c r="V21" s="664"/>
      <c r="W21" s="718"/>
      <c r="X21" s="664"/>
      <c r="Y21" s="746"/>
      <c r="Z21" s="759"/>
      <c r="AA21" s="759"/>
      <c r="AB21" s="759"/>
      <c r="AC21" s="760"/>
    </row>
    <row r="22" spans="1:44" s="382" customFormat="1" ht="26.25" x14ac:dyDescent="0.25">
      <c r="A22" s="1091" t="s">
        <v>307</v>
      </c>
      <c r="B22" s="683"/>
      <c r="C22" s="1092">
        <v>330455.12</v>
      </c>
      <c r="D22" s="1142"/>
      <c r="E22" s="720">
        <f>SUM(C22)+D22</f>
        <v>330455.12</v>
      </c>
      <c r="F22" s="677"/>
      <c r="G22" s="677">
        <f t="shared" ref="G22:G28" si="12">E22</f>
        <v>330455.12</v>
      </c>
      <c r="H22" s="381">
        <f>E22</f>
        <v>330455.12</v>
      </c>
      <c r="I22" s="746"/>
      <c r="J22" s="746"/>
      <c r="K22" s="746">
        <v>18900</v>
      </c>
      <c r="L22" s="746">
        <v>176505</v>
      </c>
      <c r="M22" s="746">
        <f>19600+9300</f>
        <v>28900</v>
      </c>
      <c r="N22" s="746">
        <v>27300</v>
      </c>
      <c r="O22" s="746"/>
      <c r="P22" s="746"/>
      <c r="Q22" s="746"/>
      <c r="R22" s="746"/>
      <c r="S22" s="746"/>
      <c r="T22" s="746"/>
      <c r="U22" s="673">
        <f t="shared" ref="U22:U28" si="13">I22+J22+K22+L22+M22+N22+O22+P22+Q22</f>
        <v>251605</v>
      </c>
      <c r="V22" s="718">
        <f t="shared" ref="V22:V28" si="14">R22</f>
        <v>0</v>
      </c>
      <c r="W22" s="718">
        <f t="shared" ref="W22:W28" si="15">U22+V22</f>
        <v>251605</v>
      </c>
      <c r="X22" s="381">
        <f t="shared" ref="X22:X28" si="16">H22-W22</f>
        <v>78850.12</v>
      </c>
      <c r="Y22" s="746">
        <f>E22-W22</f>
        <v>78850.12</v>
      </c>
      <c r="Z22" s="759"/>
      <c r="AA22" s="759" t="s">
        <v>1186</v>
      </c>
      <c r="AB22" s="759"/>
      <c r="AC22" s="764"/>
      <c r="AD22" s="759"/>
      <c r="AE22" s="759"/>
      <c r="AF22" s="759"/>
      <c r="AG22" s="759"/>
      <c r="AH22" s="759"/>
      <c r="AI22" s="759"/>
      <c r="AJ22" s="759"/>
      <c r="AK22" s="759"/>
      <c r="AL22" s="759"/>
      <c r="AM22" s="759"/>
      <c r="AN22" s="759"/>
      <c r="AO22" s="759"/>
      <c r="AP22" s="759"/>
      <c r="AQ22" s="759"/>
      <c r="AR22" s="759"/>
    </row>
    <row r="23" spans="1:44" s="382" customFormat="1" ht="15" customHeight="1" x14ac:dyDescent="0.25">
      <c r="A23" s="1093"/>
      <c r="B23" s="1094"/>
      <c r="C23" s="1095">
        <v>2019</v>
      </c>
      <c r="D23" s="1095"/>
      <c r="E23" s="1095">
        <v>2019</v>
      </c>
      <c r="F23" s="692"/>
      <c r="G23" s="677"/>
      <c r="H23" s="381"/>
      <c r="I23" s="692"/>
      <c r="J23" s="692"/>
      <c r="K23" s="691"/>
      <c r="L23" s="691"/>
      <c r="M23" s="691"/>
      <c r="N23" s="691"/>
      <c r="O23" s="691"/>
      <c r="P23" s="691"/>
      <c r="Q23" s="691"/>
      <c r="R23" s="691"/>
      <c r="S23" s="691"/>
      <c r="T23" s="691"/>
      <c r="U23" s="673">
        <f t="shared" si="13"/>
        <v>0</v>
      </c>
      <c r="V23" s="718">
        <f t="shared" si="14"/>
        <v>0</v>
      </c>
      <c r="W23" s="718">
        <f t="shared" si="15"/>
        <v>0</v>
      </c>
      <c r="X23" s="381"/>
      <c r="Y23" s="746"/>
      <c r="Z23" s="759"/>
      <c r="AA23" s="759"/>
      <c r="AB23" s="759"/>
      <c r="AC23" s="751"/>
      <c r="AD23" s="759"/>
      <c r="AE23" s="759"/>
      <c r="AF23" s="759"/>
      <c r="AG23" s="759"/>
      <c r="AH23" s="759"/>
      <c r="AI23" s="759"/>
      <c r="AJ23" s="759"/>
      <c r="AK23" s="759"/>
      <c r="AL23" s="759"/>
      <c r="AM23" s="759"/>
      <c r="AN23" s="759"/>
      <c r="AO23" s="759"/>
      <c r="AP23" s="759"/>
      <c r="AQ23" s="759"/>
      <c r="AR23" s="759"/>
    </row>
    <row r="24" spans="1:44" s="382" customFormat="1" ht="26.25" x14ac:dyDescent="0.25">
      <c r="A24" s="1091" t="s">
        <v>311</v>
      </c>
      <c r="B24" s="1094"/>
      <c r="C24" s="746">
        <v>169253.01</v>
      </c>
      <c r="D24" s="746"/>
      <c r="E24" s="720">
        <f>SUM(C24)+D24</f>
        <v>169253.01</v>
      </c>
      <c r="F24" s="677"/>
      <c r="G24" s="677">
        <f t="shared" si="12"/>
        <v>169253.01</v>
      </c>
      <c r="H24" s="381">
        <f>E24</f>
        <v>169253.01</v>
      </c>
      <c r="I24" s="692"/>
      <c r="J24" s="692"/>
      <c r="K24" s="692">
        <f>10500+13490+4000+6900</f>
        <v>34890</v>
      </c>
      <c r="L24" s="691"/>
      <c r="M24" s="691">
        <v>21000</v>
      </c>
      <c r="N24" s="691"/>
      <c r="O24" s="691"/>
      <c r="P24" s="691"/>
      <c r="Q24" s="691"/>
      <c r="R24" s="691"/>
      <c r="S24" s="691"/>
      <c r="T24" s="691"/>
      <c r="U24" s="673">
        <f t="shared" si="13"/>
        <v>55890</v>
      </c>
      <c r="V24" s="718">
        <f t="shared" si="14"/>
        <v>0</v>
      </c>
      <c r="W24" s="718">
        <f t="shared" si="15"/>
        <v>55890</v>
      </c>
      <c r="X24" s="381">
        <f t="shared" si="16"/>
        <v>113363.01000000001</v>
      </c>
      <c r="Y24" s="746">
        <f>E24-W24</f>
        <v>113363.01000000001</v>
      </c>
      <c r="Z24" s="759"/>
      <c r="AA24" s="759"/>
      <c r="AB24" s="759"/>
      <c r="AC24" s="751"/>
      <c r="AD24" s="759"/>
      <c r="AE24" s="759"/>
      <c r="AF24" s="759"/>
      <c r="AG24" s="759"/>
      <c r="AH24" s="759"/>
      <c r="AI24" s="759"/>
      <c r="AJ24" s="759"/>
      <c r="AK24" s="759"/>
      <c r="AL24" s="759"/>
      <c r="AM24" s="759"/>
      <c r="AN24" s="759"/>
      <c r="AO24" s="759"/>
      <c r="AP24" s="759"/>
      <c r="AQ24" s="759"/>
      <c r="AR24" s="759"/>
    </row>
    <row r="25" spans="1:44" s="382" customFormat="1" ht="32.25" customHeight="1" x14ac:dyDescent="0.25">
      <c r="A25" s="1187" t="s">
        <v>312</v>
      </c>
      <c r="B25" s="1094"/>
      <c r="C25" s="746">
        <v>125413.75</v>
      </c>
      <c r="D25" s="746"/>
      <c r="E25" s="677">
        <f>SUM(C25)+D25</f>
        <v>125413.75</v>
      </c>
      <c r="F25" s="677"/>
      <c r="G25" s="677">
        <f t="shared" si="12"/>
        <v>125413.75</v>
      </c>
      <c r="H25" s="381">
        <f>E25</f>
        <v>125413.75</v>
      </c>
      <c r="I25" s="692"/>
      <c r="J25" s="692"/>
      <c r="K25" s="691"/>
      <c r="L25" s="691"/>
      <c r="M25" s="691"/>
      <c r="N25" s="691"/>
      <c r="O25" s="691"/>
      <c r="P25" s="691"/>
      <c r="Q25" s="691"/>
      <c r="R25" s="691"/>
      <c r="S25" s="691"/>
      <c r="T25" s="691"/>
      <c r="U25" s="673">
        <f t="shared" si="13"/>
        <v>0</v>
      </c>
      <c r="V25" s="718">
        <f t="shared" si="14"/>
        <v>0</v>
      </c>
      <c r="W25" s="718">
        <f t="shared" si="15"/>
        <v>0</v>
      </c>
      <c r="X25" s="381">
        <f t="shared" si="16"/>
        <v>125413.75</v>
      </c>
      <c r="Y25" s="746">
        <f>E25-W25</f>
        <v>125413.75</v>
      </c>
      <c r="Z25" s="759"/>
      <c r="AA25" s="759"/>
      <c r="AB25" s="759"/>
      <c r="AC25" s="750"/>
      <c r="AD25" s="759"/>
      <c r="AE25" s="759"/>
      <c r="AF25" s="759"/>
      <c r="AG25" s="759"/>
      <c r="AH25" s="759"/>
      <c r="AI25" s="759"/>
      <c r="AJ25" s="759"/>
      <c r="AK25" s="759"/>
      <c r="AL25" s="759"/>
      <c r="AM25" s="759"/>
      <c r="AN25" s="759"/>
      <c r="AO25" s="759"/>
      <c r="AP25" s="759"/>
      <c r="AQ25" s="759"/>
      <c r="AR25" s="759"/>
    </row>
    <row r="26" spans="1:44" x14ac:dyDescent="0.25">
      <c r="A26" s="703" t="s">
        <v>313</v>
      </c>
      <c r="B26" s="688"/>
      <c r="C26" s="694">
        <v>48726.5</v>
      </c>
      <c r="D26" s="746"/>
      <c r="E26" s="720">
        <f>SUM(C26)+D26</f>
        <v>48726.5</v>
      </c>
      <c r="F26" s="665"/>
      <c r="G26" s="720">
        <f t="shared" si="12"/>
        <v>48726.5</v>
      </c>
      <c r="H26" s="718">
        <f>E26</f>
        <v>48726.5</v>
      </c>
      <c r="I26" s="692"/>
      <c r="J26" s="692"/>
      <c r="K26" s="691"/>
      <c r="L26" s="691"/>
      <c r="M26" s="691"/>
      <c r="N26" s="691"/>
      <c r="O26" s="691"/>
      <c r="P26" s="691"/>
      <c r="Q26" s="691"/>
      <c r="R26" s="691"/>
      <c r="S26" s="691"/>
      <c r="T26" s="691"/>
      <c r="U26" s="673">
        <f t="shared" si="13"/>
        <v>0</v>
      </c>
      <c r="V26" s="718">
        <f t="shared" si="14"/>
        <v>0</v>
      </c>
      <c r="W26" s="718">
        <f t="shared" si="15"/>
        <v>0</v>
      </c>
      <c r="X26" s="718">
        <f t="shared" si="16"/>
        <v>48726.5</v>
      </c>
      <c r="Y26" s="746">
        <f>E26-W26</f>
        <v>48726.5</v>
      </c>
      <c r="Z26" s="759"/>
      <c r="AA26" s="763"/>
      <c r="AB26" s="759"/>
      <c r="AC26" s="750"/>
    </row>
    <row r="27" spans="1:44" x14ac:dyDescent="0.25">
      <c r="A27" s="674" t="s">
        <v>1183</v>
      </c>
      <c r="B27" s="688"/>
      <c r="C27" s="673">
        <v>102590.8</v>
      </c>
      <c r="D27" s="673"/>
      <c r="E27" s="720">
        <f>SUM(C27)+D27</f>
        <v>102590.8</v>
      </c>
      <c r="F27" s="665"/>
      <c r="G27" s="720">
        <f t="shared" si="12"/>
        <v>102590.8</v>
      </c>
      <c r="H27" s="718">
        <f>E27</f>
        <v>102590.8</v>
      </c>
      <c r="I27" s="692"/>
      <c r="J27" s="692"/>
      <c r="K27" s="691"/>
      <c r="L27" s="691"/>
      <c r="M27" s="691"/>
      <c r="N27" s="691"/>
      <c r="O27" s="691"/>
      <c r="P27" s="691"/>
      <c r="Q27" s="691"/>
      <c r="R27" s="691"/>
      <c r="S27" s="691"/>
      <c r="T27" s="691"/>
      <c r="U27" s="673">
        <f t="shared" si="13"/>
        <v>0</v>
      </c>
      <c r="V27" s="718">
        <f t="shared" si="14"/>
        <v>0</v>
      </c>
      <c r="W27" s="718">
        <f t="shared" si="15"/>
        <v>0</v>
      </c>
      <c r="X27" s="718">
        <f t="shared" si="16"/>
        <v>102590.8</v>
      </c>
      <c r="Y27" s="746">
        <f>E27-W27</f>
        <v>102590.8</v>
      </c>
      <c r="Z27" s="759"/>
      <c r="AA27" s="759"/>
      <c r="AB27" s="759"/>
      <c r="AC27" s="750"/>
    </row>
    <row r="28" spans="1:44" x14ac:dyDescent="0.25">
      <c r="A28" s="674" t="s">
        <v>969</v>
      </c>
      <c r="B28" s="688"/>
      <c r="C28" s="695">
        <v>158011.70000000001</v>
      </c>
      <c r="D28" s="997"/>
      <c r="E28" s="720">
        <f>SUM(C28)+D28</f>
        <v>158011.70000000001</v>
      </c>
      <c r="F28" s="665"/>
      <c r="G28" s="720">
        <f t="shared" si="12"/>
        <v>158011.70000000001</v>
      </c>
      <c r="H28" s="718">
        <f>E28</f>
        <v>158011.70000000001</v>
      </c>
      <c r="I28" s="692"/>
      <c r="J28" s="692"/>
      <c r="K28" s="691"/>
      <c r="L28" s="691"/>
      <c r="M28" s="691"/>
      <c r="N28" s="691"/>
      <c r="O28" s="691">
        <v>89445</v>
      </c>
      <c r="P28" s="691">
        <v>67800</v>
      </c>
      <c r="Q28" s="691"/>
      <c r="R28" s="691"/>
      <c r="S28" s="691"/>
      <c r="T28" s="691"/>
      <c r="U28" s="673">
        <f t="shared" si="13"/>
        <v>157245</v>
      </c>
      <c r="V28" s="718">
        <f t="shared" si="14"/>
        <v>0</v>
      </c>
      <c r="W28" s="718">
        <f t="shared" si="15"/>
        <v>157245</v>
      </c>
      <c r="X28" s="718">
        <f t="shared" si="16"/>
        <v>766.70000000001164</v>
      </c>
      <c r="Y28" s="746">
        <f>E28-W28</f>
        <v>766.70000000001164</v>
      </c>
      <c r="Z28" s="759"/>
      <c r="AA28" s="759"/>
      <c r="AB28" s="759"/>
      <c r="AC28" s="750"/>
    </row>
    <row r="29" spans="1:44" x14ac:dyDescent="0.25">
      <c r="A29" s="704" t="s">
        <v>304</v>
      </c>
      <c r="B29" s="702"/>
      <c r="C29" s="701">
        <f>SUM(C24:C28)</f>
        <v>603995.76</v>
      </c>
      <c r="D29" s="753">
        <f t="shared" ref="D29:I29" si="17">SUM(D24:D28)</f>
        <v>0</v>
      </c>
      <c r="E29" s="753">
        <f t="shared" si="17"/>
        <v>603995.76</v>
      </c>
      <c r="F29" s="753">
        <f t="shared" si="17"/>
        <v>0</v>
      </c>
      <c r="G29" s="753">
        <f t="shared" si="17"/>
        <v>603995.76</v>
      </c>
      <c r="H29" s="753">
        <f t="shared" si="17"/>
        <v>603995.76</v>
      </c>
      <c r="I29" s="753">
        <f t="shared" si="17"/>
        <v>0</v>
      </c>
      <c r="J29" s="753">
        <f t="shared" ref="J29" si="18">SUM(J24:J28)</f>
        <v>0</v>
      </c>
      <c r="K29" s="753">
        <f t="shared" ref="K29" si="19">SUM(K24:K28)</f>
        <v>34890</v>
      </c>
      <c r="L29" s="753">
        <f t="shared" ref="L29" si="20">SUM(L24:L28)</f>
        <v>0</v>
      </c>
      <c r="M29" s="753">
        <f t="shared" ref="M29" si="21">SUM(M24:M28)</f>
        <v>21000</v>
      </c>
      <c r="N29" s="753">
        <f t="shared" ref="N29:O29" si="22">SUM(N24:N28)</f>
        <v>0</v>
      </c>
      <c r="O29" s="753">
        <f t="shared" si="22"/>
        <v>89445</v>
      </c>
      <c r="P29" s="753">
        <f t="shared" ref="P29" si="23">SUM(P24:P28)</f>
        <v>67800</v>
      </c>
      <c r="Q29" s="753">
        <f t="shared" ref="Q29" si="24">SUM(Q24:Q28)</f>
        <v>0</v>
      </c>
      <c r="R29" s="753">
        <f t="shared" ref="R29" si="25">SUM(R24:R28)</f>
        <v>0</v>
      </c>
      <c r="S29" s="753">
        <f t="shared" ref="S29" si="26">SUM(S24:S28)</f>
        <v>0</v>
      </c>
      <c r="T29" s="753">
        <f t="shared" ref="T29:V29" si="27">SUM(T24:T28)</f>
        <v>0</v>
      </c>
      <c r="U29" s="753">
        <f t="shared" si="27"/>
        <v>213135</v>
      </c>
      <c r="V29" s="753">
        <f t="shared" si="27"/>
        <v>0</v>
      </c>
      <c r="W29" s="753">
        <f t="shared" ref="W29" si="28">SUM(W24:W28)</f>
        <v>213135</v>
      </c>
      <c r="X29" s="753">
        <f t="shared" ref="X29" si="29">SUM(X24:X28)</f>
        <v>390860.76</v>
      </c>
      <c r="Y29" s="753">
        <f t="shared" ref="Y29" si="30">SUM(Y24:Y28)</f>
        <v>390860.76</v>
      </c>
      <c r="Z29" s="764"/>
      <c r="AA29" s="764"/>
      <c r="AB29" s="764"/>
      <c r="AC29" s="764"/>
      <c r="AD29" s="760"/>
      <c r="AE29" s="760"/>
    </row>
    <row r="30" spans="1:44" s="48" customFormat="1" ht="15.75" x14ac:dyDescent="0.25">
      <c r="A30" s="705" t="s">
        <v>970</v>
      </c>
      <c r="B30" s="224"/>
      <c r="C30" s="1445">
        <v>2020</v>
      </c>
      <c r="D30" s="1136"/>
      <c r="E30" s="1445">
        <v>2020</v>
      </c>
      <c r="F30" s="225"/>
      <c r="G30" s="225"/>
      <c r="H30" s="122"/>
      <c r="I30" s="122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122"/>
      <c r="U30" s="43"/>
      <c r="V30" s="43"/>
      <c r="W30" s="718"/>
      <c r="X30" s="182"/>
      <c r="Y30" s="379"/>
      <c r="Z30" s="734"/>
      <c r="AA30" s="734"/>
      <c r="AB30" s="734"/>
      <c r="AC30" s="734"/>
      <c r="AD30" s="734"/>
      <c r="AE30" s="734"/>
      <c r="AF30" s="734"/>
      <c r="AG30" s="734"/>
      <c r="AH30" s="734"/>
      <c r="AI30" s="734"/>
      <c r="AJ30" s="734"/>
      <c r="AK30" s="734"/>
      <c r="AL30" s="734"/>
      <c r="AM30" s="734"/>
      <c r="AN30" s="734"/>
      <c r="AO30" s="734"/>
      <c r="AP30" s="734"/>
      <c r="AQ30" s="734"/>
      <c r="AR30" s="734"/>
    </row>
    <row r="31" spans="1:44" s="48" customFormat="1" ht="18.75" customHeight="1" x14ac:dyDescent="0.25">
      <c r="A31" s="127" t="s">
        <v>971</v>
      </c>
      <c r="B31" s="224"/>
      <c r="C31" s="1446"/>
      <c r="D31" s="1137"/>
      <c r="E31" s="1446"/>
      <c r="F31" s="225"/>
      <c r="G31" s="225"/>
      <c r="H31" s="122"/>
      <c r="I31" s="122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122"/>
      <c r="U31" s="43"/>
      <c r="V31" s="43"/>
      <c r="W31" s="718">
        <f t="shared" ref="W31:W48" si="31">U31+V31</f>
        <v>0</v>
      </c>
      <c r="X31" s="718">
        <f t="shared" ref="X31:X47" si="32">H31-W31</f>
        <v>0</v>
      </c>
      <c r="Y31" s="746">
        <f t="shared" ref="Y31:Y47" si="33">E31-W31</f>
        <v>0</v>
      </c>
      <c r="Z31" s="734"/>
      <c r="AA31" s="734"/>
      <c r="AB31" s="734"/>
      <c r="AC31" s="734"/>
      <c r="AD31" s="734"/>
      <c r="AE31" s="734"/>
      <c r="AF31" s="734"/>
      <c r="AG31" s="734"/>
      <c r="AH31" s="734"/>
      <c r="AI31" s="734"/>
      <c r="AJ31" s="734"/>
      <c r="AK31" s="734"/>
      <c r="AL31" s="734"/>
      <c r="AM31" s="734"/>
      <c r="AN31" s="734"/>
      <c r="AO31" s="734"/>
      <c r="AP31" s="734"/>
      <c r="AQ31" s="734"/>
      <c r="AR31" s="734"/>
    </row>
    <row r="32" spans="1:44" s="48" customFormat="1" x14ac:dyDescent="0.25">
      <c r="A32" s="731" t="s">
        <v>984</v>
      </c>
      <c r="B32" s="224"/>
      <c r="C32" s="43">
        <v>148150</v>
      </c>
      <c r="D32" s="718"/>
      <c r="E32" s="720">
        <f t="shared" ref="E32:E47" si="34">SUM(C32)+D32</f>
        <v>148150</v>
      </c>
      <c r="F32" s="225"/>
      <c r="G32" s="720">
        <f t="shared" ref="G32:G47" si="35">E32</f>
        <v>148150</v>
      </c>
      <c r="H32" s="718">
        <f t="shared" ref="H32:H47" si="36">E32</f>
        <v>148150</v>
      </c>
      <c r="I32" s="122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122"/>
      <c r="U32" s="673">
        <f t="shared" ref="U32:U48" si="37">I32+J32+K32+L32+M32+N32+O32+P32+Q32</f>
        <v>0</v>
      </c>
      <c r="V32" s="718">
        <f t="shared" ref="V32:V48" si="38">R32</f>
        <v>0</v>
      </c>
      <c r="W32" s="725">
        <f t="shared" si="31"/>
        <v>0</v>
      </c>
      <c r="X32" s="718">
        <f t="shared" si="32"/>
        <v>148150</v>
      </c>
      <c r="Y32" s="746">
        <f t="shared" si="33"/>
        <v>148150</v>
      </c>
      <c r="Z32" s="734"/>
      <c r="AA32" s="734"/>
      <c r="AB32" s="734"/>
      <c r="AC32" s="734"/>
      <c r="AD32" s="734"/>
      <c r="AE32" s="734"/>
      <c r="AF32" s="734"/>
      <c r="AG32" s="734"/>
      <c r="AH32" s="734"/>
      <c r="AI32" s="734"/>
      <c r="AJ32" s="734"/>
      <c r="AK32" s="734"/>
      <c r="AL32" s="734"/>
      <c r="AM32" s="734"/>
      <c r="AN32" s="734"/>
      <c r="AO32" s="734"/>
      <c r="AP32" s="734"/>
      <c r="AQ32" s="734"/>
      <c r="AR32" s="734"/>
    </row>
    <row r="33" spans="1:44" s="48" customFormat="1" x14ac:dyDescent="0.25">
      <c r="A33" s="717" t="s">
        <v>972</v>
      </c>
      <c r="B33" s="224"/>
      <c r="C33" s="43"/>
      <c r="D33" s="718"/>
      <c r="E33" s="720">
        <f t="shared" si="34"/>
        <v>0</v>
      </c>
      <c r="F33" s="225"/>
      <c r="G33" s="720">
        <f t="shared" si="35"/>
        <v>0</v>
      </c>
      <c r="H33" s="718">
        <f t="shared" si="36"/>
        <v>0</v>
      </c>
      <c r="I33" s="122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122"/>
      <c r="U33" s="673">
        <f t="shared" si="37"/>
        <v>0</v>
      </c>
      <c r="V33" s="718">
        <f t="shared" si="38"/>
        <v>0</v>
      </c>
      <c r="W33" s="725">
        <f t="shared" si="31"/>
        <v>0</v>
      </c>
      <c r="X33" s="718">
        <f t="shared" si="32"/>
        <v>0</v>
      </c>
      <c r="Y33" s="746">
        <f t="shared" si="33"/>
        <v>0</v>
      </c>
      <c r="Z33" s="734"/>
      <c r="AA33" s="734"/>
      <c r="AB33" s="734"/>
      <c r="AC33" s="734"/>
      <c r="AD33" s="734"/>
      <c r="AE33" s="734"/>
      <c r="AF33" s="734"/>
      <c r="AG33" s="734"/>
      <c r="AH33" s="734"/>
      <c r="AI33" s="734"/>
      <c r="AJ33" s="734"/>
      <c r="AK33" s="734"/>
      <c r="AL33" s="734"/>
      <c r="AM33" s="734"/>
      <c r="AN33" s="734"/>
      <c r="AO33" s="734"/>
      <c r="AP33" s="734"/>
      <c r="AQ33" s="734"/>
      <c r="AR33" s="734"/>
    </row>
    <row r="34" spans="1:44" s="48" customFormat="1" x14ac:dyDescent="0.25">
      <c r="A34" s="707" t="s">
        <v>973</v>
      </c>
      <c r="B34" s="224"/>
      <c r="C34" s="43"/>
      <c r="D34" s="718"/>
      <c r="E34" s="720">
        <f t="shared" si="34"/>
        <v>0</v>
      </c>
      <c r="F34" s="225"/>
      <c r="G34" s="720">
        <f t="shared" si="35"/>
        <v>0</v>
      </c>
      <c r="H34" s="718">
        <f t="shared" si="36"/>
        <v>0</v>
      </c>
      <c r="I34" s="122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122"/>
      <c r="U34" s="673">
        <f t="shared" si="37"/>
        <v>0</v>
      </c>
      <c r="V34" s="718">
        <f t="shared" si="38"/>
        <v>0</v>
      </c>
      <c r="W34" s="725">
        <f t="shared" si="31"/>
        <v>0</v>
      </c>
      <c r="X34" s="718">
        <f t="shared" si="32"/>
        <v>0</v>
      </c>
      <c r="Y34" s="746">
        <f t="shared" si="33"/>
        <v>0</v>
      </c>
      <c r="Z34" s="734"/>
      <c r="AA34" s="734"/>
      <c r="AB34" s="734"/>
      <c r="AC34" s="734"/>
      <c r="AD34" s="734"/>
      <c r="AE34" s="734"/>
      <c r="AF34" s="734"/>
      <c r="AG34" s="734"/>
      <c r="AH34" s="734"/>
      <c r="AI34" s="734"/>
      <c r="AJ34" s="734"/>
      <c r="AK34" s="734"/>
      <c r="AL34" s="734"/>
      <c r="AM34" s="734"/>
      <c r="AN34" s="734"/>
      <c r="AO34" s="734"/>
      <c r="AP34" s="734"/>
      <c r="AQ34" s="734"/>
      <c r="AR34" s="734"/>
    </row>
    <row r="35" spans="1:44" s="48" customFormat="1" x14ac:dyDescent="0.25">
      <c r="A35" s="127" t="s">
        <v>974</v>
      </c>
      <c r="B35" s="224"/>
      <c r="C35" s="43"/>
      <c r="D35" s="718"/>
      <c r="E35" s="720">
        <f t="shared" si="34"/>
        <v>0</v>
      </c>
      <c r="F35" s="225"/>
      <c r="G35" s="720">
        <f t="shared" si="35"/>
        <v>0</v>
      </c>
      <c r="H35" s="718">
        <f t="shared" si="36"/>
        <v>0</v>
      </c>
      <c r="I35" s="122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122"/>
      <c r="U35" s="673">
        <f t="shared" si="37"/>
        <v>0</v>
      </c>
      <c r="V35" s="718">
        <f t="shared" si="38"/>
        <v>0</v>
      </c>
      <c r="W35" s="725">
        <f t="shared" si="31"/>
        <v>0</v>
      </c>
      <c r="X35" s="718">
        <f t="shared" si="32"/>
        <v>0</v>
      </c>
      <c r="Y35" s="746">
        <f t="shared" si="33"/>
        <v>0</v>
      </c>
      <c r="Z35" s="734"/>
      <c r="AA35" s="734"/>
      <c r="AB35" s="734"/>
      <c r="AC35" s="734"/>
      <c r="AD35" s="734"/>
      <c r="AE35" s="734"/>
      <c r="AF35" s="734"/>
      <c r="AG35" s="734"/>
      <c r="AH35" s="734"/>
      <c r="AI35" s="734"/>
      <c r="AJ35" s="734"/>
      <c r="AK35" s="734"/>
      <c r="AL35" s="734"/>
      <c r="AM35" s="734"/>
      <c r="AN35" s="734"/>
      <c r="AO35" s="734"/>
      <c r="AP35" s="734"/>
      <c r="AQ35" s="734"/>
      <c r="AR35" s="734"/>
    </row>
    <row r="36" spans="1:44" s="48" customFormat="1" x14ac:dyDescent="0.25">
      <c r="A36" s="127" t="s">
        <v>975</v>
      </c>
      <c r="B36" s="224"/>
      <c r="C36" s="43"/>
      <c r="D36" s="718"/>
      <c r="E36" s="720">
        <f t="shared" si="34"/>
        <v>0</v>
      </c>
      <c r="F36" s="225"/>
      <c r="G36" s="720">
        <f t="shared" si="35"/>
        <v>0</v>
      </c>
      <c r="H36" s="718">
        <f t="shared" si="36"/>
        <v>0</v>
      </c>
      <c r="I36" s="122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122"/>
      <c r="U36" s="673">
        <f t="shared" si="37"/>
        <v>0</v>
      </c>
      <c r="V36" s="718">
        <f t="shared" si="38"/>
        <v>0</v>
      </c>
      <c r="W36" s="725">
        <f t="shared" si="31"/>
        <v>0</v>
      </c>
      <c r="X36" s="718">
        <f t="shared" si="32"/>
        <v>0</v>
      </c>
      <c r="Y36" s="746">
        <f t="shared" si="33"/>
        <v>0</v>
      </c>
      <c r="Z36" s="734"/>
      <c r="AA36" s="734"/>
      <c r="AB36" s="734"/>
      <c r="AC36" s="734"/>
      <c r="AD36" s="734"/>
      <c r="AE36" s="734"/>
      <c r="AF36" s="734"/>
      <c r="AG36" s="734"/>
      <c r="AH36" s="734"/>
      <c r="AI36" s="734"/>
      <c r="AJ36" s="734"/>
      <c r="AK36" s="734"/>
      <c r="AL36" s="734"/>
      <c r="AM36" s="734"/>
      <c r="AN36" s="734"/>
      <c r="AO36" s="734"/>
      <c r="AP36" s="734"/>
      <c r="AQ36" s="734"/>
      <c r="AR36" s="734"/>
    </row>
    <row r="37" spans="1:44" s="48" customFormat="1" ht="26.25" x14ac:dyDescent="0.25">
      <c r="A37" s="706" t="s">
        <v>985</v>
      </c>
      <c r="B37" s="224"/>
      <c r="C37" s="43">
        <v>2915.92</v>
      </c>
      <c r="D37" s="718"/>
      <c r="E37" s="720">
        <f t="shared" si="34"/>
        <v>2915.92</v>
      </c>
      <c r="F37" s="225"/>
      <c r="G37" s="720">
        <f t="shared" si="35"/>
        <v>2915.92</v>
      </c>
      <c r="H37" s="718">
        <f t="shared" si="36"/>
        <v>2915.92</v>
      </c>
      <c r="I37" s="122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122"/>
      <c r="U37" s="673">
        <f t="shared" si="37"/>
        <v>0</v>
      </c>
      <c r="V37" s="718">
        <f t="shared" si="38"/>
        <v>0</v>
      </c>
      <c r="W37" s="725">
        <f t="shared" si="31"/>
        <v>0</v>
      </c>
      <c r="X37" s="718">
        <f t="shared" si="32"/>
        <v>2915.92</v>
      </c>
      <c r="Y37" s="746">
        <f t="shared" si="33"/>
        <v>2915.92</v>
      </c>
      <c r="Z37" s="734"/>
      <c r="AA37" s="734"/>
      <c r="AB37" s="734"/>
      <c r="AC37" s="734"/>
      <c r="AD37" s="734"/>
      <c r="AE37" s="734"/>
      <c r="AF37" s="734"/>
      <c r="AG37" s="734"/>
      <c r="AH37" s="734"/>
      <c r="AI37" s="734"/>
      <c r="AJ37" s="734"/>
      <c r="AK37" s="734"/>
      <c r="AL37" s="734"/>
      <c r="AM37" s="734"/>
      <c r="AN37" s="734"/>
      <c r="AO37" s="734"/>
      <c r="AP37" s="734"/>
      <c r="AQ37" s="734"/>
      <c r="AR37" s="734"/>
    </row>
    <row r="38" spans="1:44" s="48" customFormat="1" x14ac:dyDescent="0.25">
      <c r="A38" s="127" t="s">
        <v>986</v>
      </c>
      <c r="B38" s="224"/>
      <c r="C38" s="43"/>
      <c r="D38" s="718"/>
      <c r="E38" s="720">
        <f t="shared" si="34"/>
        <v>0</v>
      </c>
      <c r="F38" s="225"/>
      <c r="G38" s="720">
        <f t="shared" si="35"/>
        <v>0</v>
      </c>
      <c r="H38" s="718">
        <f t="shared" si="36"/>
        <v>0</v>
      </c>
      <c r="I38" s="122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122"/>
      <c r="U38" s="673">
        <f t="shared" si="37"/>
        <v>0</v>
      </c>
      <c r="V38" s="718">
        <f t="shared" si="38"/>
        <v>0</v>
      </c>
      <c r="W38" s="725">
        <f t="shared" si="31"/>
        <v>0</v>
      </c>
      <c r="X38" s="718">
        <f t="shared" si="32"/>
        <v>0</v>
      </c>
      <c r="Y38" s="746">
        <f t="shared" si="33"/>
        <v>0</v>
      </c>
      <c r="Z38" s="734"/>
      <c r="AA38" s="734"/>
      <c r="AB38" s="734"/>
      <c r="AC38" s="734"/>
      <c r="AD38" s="734"/>
      <c r="AE38" s="734"/>
      <c r="AF38" s="734"/>
      <c r="AG38" s="734"/>
      <c r="AH38" s="734"/>
      <c r="AI38" s="734"/>
      <c r="AJ38" s="734"/>
      <c r="AK38" s="734"/>
      <c r="AL38" s="734"/>
      <c r="AM38" s="734"/>
      <c r="AN38" s="734"/>
      <c r="AO38" s="734"/>
      <c r="AP38" s="734"/>
      <c r="AQ38" s="734"/>
      <c r="AR38" s="734"/>
    </row>
    <row r="39" spans="1:44" s="48" customFormat="1" x14ac:dyDescent="0.25">
      <c r="A39" s="706" t="s">
        <v>987</v>
      </c>
      <c r="B39" s="224"/>
      <c r="C39" s="43">
        <v>845</v>
      </c>
      <c r="D39" s="718"/>
      <c r="E39" s="720">
        <f t="shared" si="34"/>
        <v>845</v>
      </c>
      <c r="F39" s="225"/>
      <c r="G39" s="720">
        <f t="shared" si="35"/>
        <v>845</v>
      </c>
      <c r="H39" s="718">
        <f>E39</f>
        <v>845</v>
      </c>
      <c r="I39" s="122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122"/>
      <c r="U39" s="673">
        <f t="shared" si="37"/>
        <v>0</v>
      </c>
      <c r="V39" s="718">
        <f t="shared" si="38"/>
        <v>0</v>
      </c>
      <c r="W39" s="725">
        <f t="shared" si="31"/>
        <v>0</v>
      </c>
      <c r="X39" s="718">
        <f t="shared" si="32"/>
        <v>845</v>
      </c>
      <c r="Y39" s="746">
        <f t="shared" si="33"/>
        <v>845</v>
      </c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4"/>
      <c r="AM39" s="734"/>
      <c r="AN39" s="734"/>
      <c r="AO39" s="734"/>
      <c r="AP39" s="734"/>
      <c r="AQ39" s="734"/>
      <c r="AR39" s="734"/>
    </row>
    <row r="40" spans="1:44" s="48" customFormat="1" x14ac:dyDescent="0.25">
      <c r="A40" s="717" t="s">
        <v>976</v>
      </c>
      <c r="B40" s="224"/>
      <c r="C40" s="43"/>
      <c r="D40" s="718"/>
      <c r="E40" s="720">
        <f t="shared" si="34"/>
        <v>0</v>
      </c>
      <c r="F40" s="225"/>
      <c r="G40" s="720">
        <f t="shared" si="35"/>
        <v>0</v>
      </c>
      <c r="H40" s="718">
        <f t="shared" si="36"/>
        <v>0</v>
      </c>
      <c r="I40" s="122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122"/>
      <c r="U40" s="673">
        <f t="shared" si="37"/>
        <v>0</v>
      </c>
      <c r="V40" s="718">
        <f t="shared" si="38"/>
        <v>0</v>
      </c>
      <c r="W40" s="725">
        <f t="shared" si="31"/>
        <v>0</v>
      </c>
      <c r="X40" s="718">
        <f t="shared" si="32"/>
        <v>0</v>
      </c>
      <c r="Y40" s="746">
        <f t="shared" si="33"/>
        <v>0</v>
      </c>
      <c r="Z40" s="734"/>
      <c r="AA40" s="734"/>
      <c r="AB40" s="734"/>
      <c r="AC40" s="734"/>
      <c r="AD40" s="734"/>
      <c r="AE40" s="734"/>
      <c r="AF40" s="734"/>
      <c r="AG40" s="734"/>
      <c r="AH40" s="734"/>
      <c r="AI40" s="734"/>
      <c r="AJ40" s="734"/>
      <c r="AK40" s="734"/>
      <c r="AL40" s="734"/>
      <c r="AM40" s="734"/>
      <c r="AN40" s="734"/>
      <c r="AO40" s="734"/>
      <c r="AP40" s="734"/>
      <c r="AQ40" s="734"/>
      <c r="AR40" s="734"/>
    </row>
    <row r="41" spans="1:44" s="48" customFormat="1" ht="26.25" x14ac:dyDescent="0.25">
      <c r="A41" s="706" t="s">
        <v>977</v>
      </c>
      <c r="B41" s="224"/>
      <c r="C41" s="43">
        <v>2975</v>
      </c>
      <c r="D41" s="718"/>
      <c r="E41" s="720">
        <f t="shared" si="34"/>
        <v>2975</v>
      </c>
      <c r="F41" s="225"/>
      <c r="G41" s="720">
        <f t="shared" si="35"/>
        <v>2975</v>
      </c>
      <c r="H41" s="718">
        <f t="shared" si="36"/>
        <v>2975</v>
      </c>
      <c r="I41" s="122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122"/>
      <c r="U41" s="673">
        <f t="shared" si="37"/>
        <v>0</v>
      </c>
      <c r="V41" s="718">
        <f t="shared" si="38"/>
        <v>0</v>
      </c>
      <c r="W41" s="725">
        <f t="shared" si="31"/>
        <v>0</v>
      </c>
      <c r="X41" s="718">
        <f t="shared" si="32"/>
        <v>2975</v>
      </c>
      <c r="Y41" s="746">
        <f t="shared" si="33"/>
        <v>2975</v>
      </c>
      <c r="Z41" s="734"/>
      <c r="AA41" s="734"/>
      <c r="AB41" s="734"/>
      <c r="AC41" s="734"/>
      <c r="AD41" s="734"/>
      <c r="AE41" s="734"/>
      <c r="AF41" s="734"/>
      <c r="AG41" s="734"/>
      <c r="AH41" s="734"/>
      <c r="AI41" s="734"/>
      <c r="AJ41" s="734"/>
      <c r="AK41" s="734"/>
      <c r="AL41" s="734"/>
      <c r="AM41" s="734"/>
      <c r="AN41" s="734"/>
      <c r="AO41" s="734"/>
      <c r="AP41" s="734"/>
      <c r="AQ41" s="734"/>
      <c r="AR41" s="734"/>
    </row>
    <row r="42" spans="1:44" s="48" customFormat="1" ht="26.25" x14ac:dyDescent="0.25">
      <c r="A42" s="706" t="s">
        <v>978</v>
      </c>
      <c r="B42" s="224"/>
      <c r="C42" s="43">
        <v>550</v>
      </c>
      <c r="D42" s="718"/>
      <c r="E42" s="720">
        <f t="shared" si="34"/>
        <v>550</v>
      </c>
      <c r="F42" s="225"/>
      <c r="G42" s="720">
        <f t="shared" si="35"/>
        <v>550</v>
      </c>
      <c r="H42" s="718">
        <f t="shared" si="36"/>
        <v>550</v>
      </c>
      <c r="I42" s="122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122"/>
      <c r="U42" s="673">
        <f t="shared" si="37"/>
        <v>0</v>
      </c>
      <c r="V42" s="718">
        <f t="shared" si="38"/>
        <v>0</v>
      </c>
      <c r="W42" s="725">
        <f t="shared" si="31"/>
        <v>0</v>
      </c>
      <c r="X42" s="718">
        <f t="shared" si="32"/>
        <v>550</v>
      </c>
      <c r="Y42" s="746">
        <f t="shared" si="33"/>
        <v>550</v>
      </c>
      <c r="Z42" s="734"/>
      <c r="AA42" s="734"/>
      <c r="AB42" s="734"/>
      <c r="AC42" s="734"/>
      <c r="AD42" s="734"/>
      <c r="AE42" s="734"/>
      <c r="AF42" s="734"/>
      <c r="AG42" s="734"/>
      <c r="AH42" s="734"/>
      <c r="AI42" s="734"/>
      <c r="AJ42" s="734"/>
      <c r="AK42" s="734"/>
      <c r="AL42" s="734"/>
      <c r="AM42" s="734"/>
      <c r="AN42" s="734"/>
      <c r="AO42" s="734"/>
      <c r="AP42" s="734"/>
      <c r="AQ42" s="734"/>
      <c r="AR42" s="734"/>
    </row>
    <row r="43" spans="1:44" s="48" customFormat="1" x14ac:dyDescent="0.25">
      <c r="A43" s="717" t="s">
        <v>979</v>
      </c>
      <c r="B43" s="224"/>
      <c r="C43" s="43">
        <v>52314.22</v>
      </c>
      <c r="D43" s="718"/>
      <c r="E43" s="720">
        <f t="shared" si="34"/>
        <v>52314.22</v>
      </c>
      <c r="F43" s="225"/>
      <c r="G43" s="720">
        <f t="shared" si="35"/>
        <v>52314.22</v>
      </c>
      <c r="H43" s="718">
        <f t="shared" si="36"/>
        <v>52314.22</v>
      </c>
      <c r="I43" s="122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122"/>
      <c r="U43" s="673">
        <f t="shared" si="37"/>
        <v>0</v>
      </c>
      <c r="V43" s="718">
        <f t="shared" si="38"/>
        <v>0</v>
      </c>
      <c r="W43" s="725">
        <f t="shared" si="31"/>
        <v>0</v>
      </c>
      <c r="X43" s="718">
        <f t="shared" si="32"/>
        <v>52314.22</v>
      </c>
      <c r="Y43" s="746">
        <f t="shared" si="33"/>
        <v>52314.22</v>
      </c>
      <c r="Z43" s="734"/>
      <c r="AA43" s="734"/>
      <c r="AB43" s="734"/>
      <c r="AC43" s="734"/>
      <c r="AD43" s="734"/>
      <c r="AE43" s="734"/>
      <c r="AF43" s="734"/>
      <c r="AG43" s="734"/>
      <c r="AH43" s="734"/>
      <c r="AI43" s="734"/>
      <c r="AJ43" s="734"/>
      <c r="AK43" s="734"/>
      <c r="AL43" s="734"/>
      <c r="AM43" s="734"/>
      <c r="AN43" s="734"/>
      <c r="AO43" s="734"/>
      <c r="AP43" s="734"/>
      <c r="AQ43" s="734"/>
      <c r="AR43" s="734"/>
    </row>
    <row r="44" spans="1:44" s="48" customFormat="1" ht="26.25" x14ac:dyDescent="0.25">
      <c r="A44" s="706" t="s">
        <v>980</v>
      </c>
      <c r="B44" s="224"/>
      <c r="C44" s="43">
        <v>500000</v>
      </c>
      <c r="D44" s="718"/>
      <c r="E44" s="720">
        <f t="shared" si="34"/>
        <v>500000</v>
      </c>
      <c r="F44" s="225"/>
      <c r="G44" s="720">
        <f t="shared" si="35"/>
        <v>500000</v>
      </c>
      <c r="H44" s="718">
        <f t="shared" si="36"/>
        <v>500000</v>
      </c>
      <c r="I44" s="122"/>
      <c r="J44" s="271"/>
      <c r="K44" s="271"/>
      <c r="L44" s="271">
        <f>138900+360625</f>
        <v>499525</v>
      </c>
      <c r="M44" s="271"/>
      <c r="N44" s="271"/>
      <c r="O44" s="271"/>
      <c r="P44" s="271"/>
      <c r="Q44" s="271"/>
      <c r="R44" s="271"/>
      <c r="S44" s="271"/>
      <c r="T44" s="122"/>
      <c r="U44" s="673">
        <f t="shared" si="37"/>
        <v>499525</v>
      </c>
      <c r="V44" s="718">
        <f t="shared" si="38"/>
        <v>0</v>
      </c>
      <c r="W44" s="718">
        <f t="shared" si="31"/>
        <v>499525</v>
      </c>
      <c r="X44" s="718">
        <f t="shared" si="32"/>
        <v>475</v>
      </c>
      <c r="Y44" s="746">
        <f t="shared" si="33"/>
        <v>475</v>
      </c>
      <c r="Z44" s="734"/>
      <c r="AA44" s="734"/>
      <c r="AB44" s="734"/>
      <c r="AC44" s="734"/>
      <c r="AD44" s="734"/>
      <c r="AE44" s="734"/>
      <c r="AF44" s="734"/>
      <c r="AG44" s="734"/>
      <c r="AH44" s="734"/>
      <c r="AI44" s="734"/>
      <c r="AJ44" s="734"/>
      <c r="AK44" s="734"/>
      <c r="AL44" s="734"/>
      <c r="AM44" s="734"/>
      <c r="AN44" s="734"/>
      <c r="AO44" s="734"/>
      <c r="AP44" s="734"/>
      <c r="AQ44" s="734"/>
      <c r="AR44" s="734"/>
    </row>
    <row r="45" spans="1:44" s="48" customFormat="1" x14ac:dyDescent="0.25">
      <c r="A45" s="706" t="s">
        <v>981</v>
      </c>
      <c r="B45" s="224"/>
      <c r="C45" s="43">
        <v>161794</v>
      </c>
      <c r="D45" s="718"/>
      <c r="E45" s="720">
        <f t="shared" si="34"/>
        <v>161794</v>
      </c>
      <c r="F45" s="225"/>
      <c r="G45" s="720">
        <f t="shared" si="35"/>
        <v>161794</v>
      </c>
      <c r="H45" s="718">
        <f t="shared" si="36"/>
        <v>161794</v>
      </c>
      <c r="I45" s="122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122"/>
      <c r="U45" s="673">
        <f t="shared" si="37"/>
        <v>0</v>
      </c>
      <c r="V45" s="718">
        <f t="shared" si="38"/>
        <v>0</v>
      </c>
      <c r="W45" s="718">
        <f t="shared" si="31"/>
        <v>0</v>
      </c>
      <c r="X45" s="718">
        <f t="shared" si="32"/>
        <v>161794</v>
      </c>
      <c r="Y45" s="746">
        <f t="shared" si="33"/>
        <v>161794</v>
      </c>
      <c r="Z45" s="734"/>
      <c r="AA45" s="734"/>
      <c r="AB45" s="734"/>
      <c r="AC45" s="734"/>
      <c r="AD45" s="734"/>
      <c r="AE45" s="734"/>
      <c r="AF45" s="734"/>
      <c r="AG45" s="734"/>
      <c r="AH45" s="734"/>
      <c r="AI45" s="734"/>
      <c r="AJ45" s="734"/>
      <c r="AK45" s="734"/>
      <c r="AL45" s="734"/>
      <c r="AM45" s="734"/>
      <c r="AN45" s="734"/>
      <c r="AO45" s="734"/>
      <c r="AP45" s="734"/>
      <c r="AQ45" s="734"/>
      <c r="AR45" s="734"/>
    </row>
    <row r="46" spans="1:44" s="48" customFormat="1" x14ac:dyDescent="0.25">
      <c r="A46" s="706" t="s">
        <v>982</v>
      </c>
      <c r="B46" s="224"/>
      <c r="C46" s="43">
        <v>200000</v>
      </c>
      <c r="D46" s="718"/>
      <c r="E46" s="720">
        <f t="shared" si="34"/>
        <v>200000</v>
      </c>
      <c r="F46" s="225"/>
      <c r="G46" s="720">
        <f t="shared" si="35"/>
        <v>200000</v>
      </c>
      <c r="H46" s="718">
        <f t="shared" si="36"/>
        <v>200000</v>
      </c>
      <c r="I46" s="122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122"/>
      <c r="U46" s="673">
        <f t="shared" si="37"/>
        <v>0</v>
      </c>
      <c r="V46" s="718">
        <f t="shared" si="38"/>
        <v>0</v>
      </c>
      <c r="W46" s="718">
        <f t="shared" si="31"/>
        <v>0</v>
      </c>
      <c r="X46" s="718">
        <f t="shared" si="32"/>
        <v>200000</v>
      </c>
      <c r="Y46" s="746">
        <f t="shared" si="33"/>
        <v>200000</v>
      </c>
      <c r="Z46" s="734"/>
      <c r="AA46" s="734"/>
      <c r="AB46" s="734"/>
      <c r="AC46" s="734"/>
      <c r="AD46" s="734"/>
      <c r="AE46" s="734"/>
      <c r="AF46" s="734"/>
      <c r="AG46" s="734"/>
      <c r="AH46" s="734"/>
      <c r="AI46" s="734"/>
      <c r="AJ46" s="734"/>
      <c r="AK46" s="734"/>
      <c r="AL46" s="734"/>
      <c r="AM46" s="734"/>
      <c r="AN46" s="734"/>
      <c r="AO46" s="734"/>
      <c r="AP46" s="734"/>
      <c r="AQ46" s="734"/>
      <c r="AR46" s="734"/>
    </row>
    <row r="47" spans="1:44" s="48" customFormat="1" x14ac:dyDescent="0.25">
      <c r="A47" s="706" t="s">
        <v>983</v>
      </c>
      <c r="B47" s="224"/>
      <c r="C47" s="43">
        <v>120598.39</v>
      </c>
      <c r="D47" s="718"/>
      <c r="E47" s="720">
        <f t="shared" si="34"/>
        <v>120598.39</v>
      </c>
      <c r="F47" s="225"/>
      <c r="G47" s="720">
        <f t="shared" si="35"/>
        <v>120598.39</v>
      </c>
      <c r="H47" s="718">
        <f t="shared" si="36"/>
        <v>120598.39</v>
      </c>
      <c r="I47" s="122"/>
      <c r="J47" s="271"/>
      <c r="K47" s="271"/>
      <c r="L47" s="271"/>
      <c r="M47" s="271"/>
      <c r="N47" s="271"/>
      <c r="O47" s="271"/>
      <c r="P47" s="271"/>
      <c r="Q47" s="677">
        <v>117136.02</v>
      </c>
      <c r="R47" s="271"/>
      <c r="S47" s="271"/>
      <c r="T47" s="122"/>
      <c r="U47" s="673">
        <f t="shared" si="37"/>
        <v>117136.02</v>
      </c>
      <c r="V47" s="718">
        <f t="shared" si="38"/>
        <v>0</v>
      </c>
      <c r="W47" s="718">
        <f t="shared" si="31"/>
        <v>117136.02</v>
      </c>
      <c r="X47" s="718">
        <f t="shared" si="32"/>
        <v>3462.3699999999953</v>
      </c>
      <c r="Y47" s="746">
        <f t="shared" si="33"/>
        <v>3462.3699999999953</v>
      </c>
      <c r="Z47" s="734"/>
      <c r="AA47" s="734"/>
      <c r="AB47" s="734"/>
      <c r="AC47" s="734"/>
      <c r="AD47" s="734"/>
      <c r="AE47" s="734"/>
      <c r="AF47" s="734"/>
      <c r="AG47" s="734"/>
      <c r="AH47" s="734"/>
      <c r="AI47" s="734"/>
      <c r="AJ47" s="734"/>
      <c r="AK47" s="734"/>
      <c r="AL47" s="734"/>
      <c r="AM47" s="734"/>
      <c r="AN47" s="734"/>
      <c r="AO47" s="734"/>
      <c r="AP47" s="734"/>
      <c r="AQ47" s="734"/>
      <c r="AR47" s="734"/>
    </row>
    <row r="48" spans="1:44" x14ac:dyDescent="0.25">
      <c r="A48" s="950"/>
      <c r="B48" s="688"/>
      <c r="C48" s="673"/>
      <c r="D48" s="673"/>
      <c r="E48" s="720"/>
      <c r="F48" s="665"/>
      <c r="G48" s="720"/>
      <c r="H48" s="718"/>
      <c r="I48" s="692"/>
      <c r="J48" s="692"/>
      <c r="K48" s="691"/>
      <c r="L48" s="691"/>
      <c r="M48" s="691"/>
      <c r="N48" s="691"/>
      <c r="O48" s="691"/>
      <c r="P48" s="691"/>
      <c r="Q48" s="691"/>
      <c r="R48" s="691"/>
      <c r="S48" s="691"/>
      <c r="T48" s="691"/>
      <c r="U48" s="673">
        <f t="shared" si="37"/>
        <v>0</v>
      </c>
      <c r="V48" s="718">
        <f t="shared" si="38"/>
        <v>0</v>
      </c>
      <c r="W48" s="718">
        <f t="shared" si="31"/>
        <v>0</v>
      </c>
      <c r="X48" s="718"/>
      <c r="Y48" s="746"/>
      <c r="Z48" s="759"/>
      <c r="AA48" s="759"/>
      <c r="AB48" s="759"/>
      <c r="AC48" s="751"/>
    </row>
    <row r="49" spans="1:44" s="727" customFormat="1" x14ac:dyDescent="0.25">
      <c r="A49" s="754" t="s">
        <v>304</v>
      </c>
      <c r="B49" s="737"/>
      <c r="C49" s="725">
        <f>SUM(C32:C48)</f>
        <v>1190142.53</v>
      </c>
      <c r="D49" s="725">
        <f t="shared" ref="D49:Y49" si="39">SUM(D32:D48)</f>
        <v>0</v>
      </c>
      <c r="E49" s="725">
        <f t="shared" si="39"/>
        <v>1190142.53</v>
      </c>
      <c r="F49" s="725">
        <f t="shared" si="39"/>
        <v>0</v>
      </c>
      <c r="G49" s="725">
        <f t="shared" si="39"/>
        <v>1190142.53</v>
      </c>
      <c r="H49" s="725">
        <f t="shared" si="39"/>
        <v>1190142.53</v>
      </c>
      <c r="I49" s="725">
        <f t="shared" si="39"/>
        <v>0</v>
      </c>
      <c r="J49" s="725">
        <f t="shared" si="39"/>
        <v>0</v>
      </c>
      <c r="K49" s="725">
        <f t="shared" si="39"/>
        <v>0</v>
      </c>
      <c r="L49" s="725">
        <f t="shared" si="39"/>
        <v>499525</v>
      </c>
      <c r="M49" s="725">
        <f t="shared" si="39"/>
        <v>0</v>
      </c>
      <c r="N49" s="725">
        <f t="shared" si="39"/>
        <v>0</v>
      </c>
      <c r="O49" s="725">
        <f t="shared" si="39"/>
        <v>0</v>
      </c>
      <c r="P49" s="725">
        <f t="shared" si="39"/>
        <v>0</v>
      </c>
      <c r="Q49" s="725">
        <f t="shared" si="39"/>
        <v>117136.02</v>
      </c>
      <c r="R49" s="725">
        <f t="shared" si="39"/>
        <v>0</v>
      </c>
      <c r="S49" s="725">
        <f t="shared" si="39"/>
        <v>0</v>
      </c>
      <c r="T49" s="725">
        <f t="shared" si="39"/>
        <v>0</v>
      </c>
      <c r="U49" s="725">
        <f t="shared" si="39"/>
        <v>616661.02</v>
      </c>
      <c r="V49" s="725">
        <f t="shared" si="39"/>
        <v>0</v>
      </c>
      <c r="W49" s="725">
        <f t="shared" si="39"/>
        <v>616661.02</v>
      </c>
      <c r="X49" s="725">
        <f t="shared" si="39"/>
        <v>573481.51</v>
      </c>
      <c r="Y49" s="1054">
        <f t="shared" si="39"/>
        <v>573481.51</v>
      </c>
      <c r="Z49" s="435"/>
      <c r="AA49" s="435"/>
      <c r="AB49" s="435"/>
      <c r="AC49" s="435"/>
      <c r="AD49" s="435"/>
      <c r="AE49" s="435"/>
      <c r="AF49" s="435"/>
      <c r="AG49" s="435"/>
      <c r="AH49" s="435"/>
      <c r="AI49" s="435"/>
      <c r="AJ49" s="435"/>
      <c r="AK49" s="435"/>
      <c r="AL49" s="435"/>
      <c r="AM49" s="435"/>
      <c r="AN49" s="435"/>
      <c r="AO49" s="435"/>
      <c r="AP49" s="435"/>
      <c r="AQ49" s="435"/>
      <c r="AR49" s="435"/>
    </row>
    <row r="50" spans="1:44" ht="17.25" thickBot="1" x14ac:dyDescent="0.35">
      <c r="A50" s="696" t="s">
        <v>160</v>
      </c>
      <c r="B50" s="697"/>
      <c r="C50" s="700">
        <f>C9+C13+C19+C22+C29+C49</f>
        <v>3059593.41</v>
      </c>
      <c r="D50" s="749">
        <f t="shared" ref="D50:Y50" si="40">D9+D13+D19+D22+D29+D49</f>
        <v>0</v>
      </c>
      <c r="E50" s="749">
        <f t="shared" si="40"/>
        <v>3059593.41</v>
      </c>
      <c r="F50" s="749">
        <f t="shared" si="40"/>
        <v>0</v>
      </c>
      <c r="G50" s="749">
        <f t="shared" si="40"/>
        <v>3059593.41</v>
      </c>
      <c r="H50" s="749">
        <f t="shared" si="40"/>
        <v>3059593.41</v>
      </c>
      <c r="I50" s="749">
        <f t="shared" si="40"/>
        <v>0</v>
      </c>
      <c r="J50" s="749">
        <f t="shared" si="40"/>
        <v>0</v>
      </c>
      <c r="K50" s="749">
        <f t="shared" si="40"/>
        <v>53790</v>
      </c>
      <c r="L50" s="749">
        <f t="shared" si="40"/>
        <v>676030</v>
      </c>
      <c r="M50" s="749">
        <f t="shared" si="40"/>
        <v>49900</v>
      </c>
      <c r="N50" s="749">
        <f t="shared" si="40"/>
        <v>27300</v>
      </c>
      <c r="O50" s="749">
        <f t="shared" si="40"/>
        <v>89445</v>
      </c>
      <c r="P50" s="749">
        <f t="shared" si="40"/>
        <v>568800</v>
      </c>
      <c r="Q50" s="749">
        <f t="shared" si="40"/>
        <v>117136.02</v>
      </c>
      <c r="R50" s="749">
        <f t="shared" si="40"/>
        <v>0</v>
      </c>
      <c r="S50" s="749">
        <f t="shared" si="40"/>
        <v>0</v>
      </c>
      <c r="T50" s="749">
        <f t="shared" si="40"/>
        <v>0</v>
      </c>
      <c r="U50" s="749">
        <f t="shared" si="40"/>
        <v>1582401.02</v>
      </c>
      <c r="V50" s="749">
        <f t="shared" si="40"/>
        <v>0</v>
      </c>
      <c r="W50" s="749">
        <f t="shared" si="40"/>
        <v>1582401.02</v>
      </c>
      <c r="X50" s="749">
        <f t="shared" si="40"/>
        <v>1477192.3900000001</v>
      </c>
      <c r="Y50" s="749">
        <f t="shared" si="40"/>
        <v>1477192.3900000001</v>
      </c>
      <c r="Z50" s="758"/>
      <c r="AA50" s="765"/>
      <c r="AB50" s="758"/>
      <c r="AC50" s="758"/>
      <c r="AD50" s="747"/>
      <c r="AE50" s="747"/>
    </row>
    <row r="51" spans="1:44" ht="15.75" thickTop="1" x14ac:dyDescent="0.25">
      <c r="A51" s="34"/>
      <c r="B51" s="11"/>
      <c r="C51" s="35"/>
      <c r="D51" s="35"/>
      <c r="E51" s="35"/>
      <c r="F51" s="35"/>
      <c r="G51" s="35"/>
    </row>
    <row r="52" spans="1:44" x14ac:dyDescent="0.25">
      <c r="A52" s="34"/>
      <c r="B52" s="11"/>
      <c r="C52" s="35"/>
      <c r="D52" s="35"/>
      <c r="E52" s="35"/>
      <c r="F52" s="35"/>
      <c r="G52" s="35"/>
    </row>
    <row r="53" spans="1:44" x14ac:dyDescent="0.25">
      <c r="A53" t="s">
        <v>354</v>
      </c>
      <c r="B53" s="30"/>
      <c r="C53" s="35"/>
      <c r="D53" s="35"/>
      <c r="E53" s="35"/>
      <c r="F53" s="35"/>
      <c r="G53" s="35"/>
      <c r="W53" s="259" t="s">
        <v>357</v>
      </c>
    </row>
    <row r="54" spans="1:44" x14ac:dyDescent="0.25">
      <c r="B54" s="32"/>
      <c r="C54" s="36"/>
      <c r="D54" s="36"/>
      <c r="E54" s="36"/>
      <c r="F54" s="36"/>
      <c r="G54" s="36"/>
    </row>
    <row r="55" spans="1:44" x14ac:dyDescent="0.25">
      <c r="A55" s="258"/>
      <c r="B55" s="14"/>
      <c r="C55" s="31"/>
      <c r="D55" s="31"/>
      <c r="E55" s="31"/>
      <c r="F55" s="31"/>
      <c r="G55" s="31"/>
      <c r="W55" s="260"/>
    </row>
    <row r="56" spans="1:44" x14ac:dyDescent="0.25">
      <c r="A56" s="259"/>
      <c r="W56" s="259"/>
    </row>
    <row r="57" spans="1:44" s="951" customFormat="1" x14ac:dyDescent="0.25">
      <c r="A57" s="742" t="s">
        <v>355</v>
      </c>
      <c r="B57" s="710"/>
      <c r="C57" s="31"/>
      <c r="D57" s="31"/>
      <c r="E57" s="31"/>
      <c r="F57" s="31"/>
      <c r="G57" s="31"/>
      <c r="H57" s="708"/>
      <c r="I57" s="708"/>
      <c r="J57" s="708"/>
      <c r="K57" s="708"/>
      <c r="L57" s="708"/>
      <c r="M57" s="708"/>
      <c r="N57" s="708"/>
      <c r="O57" s="708"/>
      <c r="P57" s="708"/>
      <c r="Q57" s="708"/>
      <c r="R57" s="708"/>
      <c r="S57" s="708"/>
      <c r="T57" s="708"/>
      <c r="U57" s="708"/>
      <c r="W57" s="744" t="s">
        <v>358</v>
      </c>
      <c r="Y57" s="382"/>
      <c r="Z57" s="734"/>
      <c r="AA57" s="734"/>
      <c r="AB57" s="734"/>
      <c r="AC57" s="734"/>
      <c r="AD57" s="734"/>
      <c r="AE57" s="734"/>
      <c r="AF57" s="734"/>
      <c r="AG57" s="734"/>
      <c r="AH57" s="734"/>
      <c r="AI57" s="734"/>
      <c r="AJ57" s="734"/>
      <c r="AK57" s="734"/>
      <c r="AL57" s="734"/>
      <c r="AM57" s="734"/>
      <c r="AN57" s="734"/>
      <c r="AO57" s="734"/>
      <c r="AP57" s="734"/>
      <c r="AQ57" s="734"/>
      <c r="AR57" s="734"/>
    </row>
    <row r="58" spans="1:44" s="951" customFormat="1" x14ac:dyDescent="0.25">
      <c r="A58" s="743" t="s">
        <v>356</v>
      </c>
      <c r="H58" s="708"/>
      <c r="I58" s="708"/>
      <c r="J58" s="708"/>
      <c r="K58" s="708"/>
      <c r="L58" s="708"/>
      <c r="M58" s="708"/>
      <c r="N58" s="708"/>
      <c r="O58" s="708"/>
      <c r="P58" s="708"/>
      <c r="Q58" s="708"/>
      <c r="R58" s="708"/>
      <c r="S58" s="708"/>
      <c r="T58" s="708"/>
      <c r="U58" s="708"/>
      <c r="W58" s="743" t="s">
        <v>359</v>
      </c>
      <c r="Y58" s="382"/>
      <c r="Z58" s="734"/>
      <c r="AA58" s="734"/>
      <c r="AB58" s="734"/>
      <c r="AC58" s="734"/>
      <c r="AD58" s="734"/>
      <c r="AE58" s="734"/>
      <c r="AF58" s="734"/>
      <c r="AG58" s="734"/>
      <c r="AH58" s="734"/>
      <c r="AI58" s="734"/>
      <c r="AJ58" s="734"/>
      <c r="AK58" s="734"/>
      <c r="AL58" s="734"/>
      <c r="AM58" s="734"/>
      <c r="AN58" s="734"/>
      <c r="AO58" s="734"/>
      <c r="AP58" s="734"/>
      <c r="AQ58" s="734"/>
      <c r="AR58" s="734"/>
    </row>
  </sheetData>
  <mergeCells count="13">
    <mergeCell ref="A1:Y1"/>
    <mergeCell ref="E14:E15"/>
    <mergeCell ref="E20:E21"/>
    <mergeCell ref="C30:C31"/>
    <mergeCell ref="E30:E31"/>
    <mergeCell ref="A2:Y2"/>
    <mergeCell ref="A3:Y3"/>
    <mergeCell ref="C6:C7"/>
    <mergeCell ref="C10:C11"/>
    <mergeCell ref="E6:E7"/>
    <mergeCell ref="E10:E11"/>
    <mergeCell ref="C14:C15"/>
    <mergeCell ref="C20:C21"/>
  </mergeCells>
  <printOptions horizontalCentered="1" verticalCentered="1" headings="1"/>
  <pageMargins left="0.7" right="0.2" top="1" bottom="0.25" header="0.3" footer="0.3"/>
  <pageSetup paperSize="5" scale="80" orientation="landscape" horizontalDpi="300" verticalDpi="300" r:id="rId1"/>
  <rowBreaks count="1" manualBreakCount="1">
    <brk id="33" max="2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view="pageBreakPreview" zoomScale="87" zoomScaleNormal="100" zoomScaleSheetLayoutView="87" workbookViewId="0">
      <pane xSplit="1" ySplit="7" topLeftCell="W20" activePane="bottomRight" state="frozen"/>
      <selection pane="topRight" activeCell="B1" sqref="B1"/>
      <selection pane="bottomLeft" activeCell="A8" sqref="A8"/>
      <selection pane="bottomRight" activeCell="Z27" sqref="Z27"/>
    </sheetView>
  </sheetViews>
  <sheetFormatPr defaultRowHeight="15" outlineLevelCol="1" x14ac:dyDescent="0.25"/>
  <cols>
    <col min="1" max="1" width="74.7109375" style="1090" customWidth="1"/>
    <col min="2" max="2" width="10.28515625" style="1090" customWidth="1"/>
    <col min="3" max="4" width="13.28515625" style="1090" customWidth="1"/>
    <col min="5" max="6" width="11.5703125" style="1090" customWidth="1"/>
    <col min="7" max="9" width="13.28515625" style="1090" customWidth="1"/>
    <col min="10" max="10" width="14.5703125" style="1090" customWidth="1"/>
    <col min="11" max="11" width="12.7109375" style="1090" hidden="1" customWidth="1" outlineLevel="1"/>
    <col min="12" max="12" width="13.5703125" style="1090" hidden="1" customWidth="1" outlineLevel="1"/>
    <col min="13" max="14" width="12.7109375" style="1090" hidden="1" customWidth="1" outlineLevel="1"/>
    <col min="15" max="15" width="14.140625" style="1090" hidden="1" customWidth="1" outlineLevel="1"/>
    <col min="16" max="16" width="12.7109375" style="1090" hidden="1" customWidth="1" outlineLevel="1"/>
    <col min="17" max="17" width="14.85546875" style="1234" hidden="1" customWidth="1" outlineLevel="1"/>
    <col min="18" max="18" width="14.42578125" style="1090" hidden="1" customWidth="1" outlineLevel="1"/>
    <col min="19" max="22" width="12.7109375" style="1090" hidden="1" customWidth="1" outlineLevel="1"/>
    <col min="23" max="23" width="13.85546875" style="1234" customWidth="1" collapsed="1"/>
    <col min="24" max="24" width="12.140625" style="1234" customWidth="1"/>
    <col min="25" max="27" width="13.28515625" style="1090" customWidth="1"/>
    <col min="28" max="16384" width="9.140625" style="1090"/>
  </cols>
  <sheetData>
    <row r="1" spans="1:27" x14ac:dyDescent="0.25">
      <c r="A1" s="1443" t="s">
        <v>352</v>
      </c>
      <c r="B1" s="1443"/>
      <c r="C1" s="1443"/>
      <c r="D1" s="1443"/>
      <c r="E1" s="1443"/>
      <c r="F1" s="1443"/>
      <c r="G1" s="1443"/>
      <c r="H1" s="1443"/>
      <c r="I1" s="1443"/>
      <c r="J1" s="1443"/>
      <c r="K1" s="1443"/>
      <c r="L1" s="1443"/>
      <c r="M1" s="1443"/>
      <c r="N1" s="1443"/>
      <c r="O1" s="1443"/>
      <c r="P1" s="1443"/>
      <c r="Q1" s="1443"/>
      <c r="R1" s="1443"/>
      <c r="S1" s="1443"/>
      <c r="T1" s="1443"/>
      <c r="U1" s="1443"/>
      <c r="V1" s="1443"/>
      <c r="W1" s="1443"/>
      <c r="X1" s="1443"/>
      <c r="Y1" s="1443"/>
      <c r="Z1" s="1443"/>
      <c r="AA1" s="1443"/>
    </row>
    <row r="2" spans="1:27" x14ac:dyDescent="0.25">
      <c r="A2" s="1443" t="s">
        <v>353</v>
      </c>
      <c r="B2" s="1443"/>
      <c r="C2" s="1443"/>
      <c r="D2" s="1443"/>
      <c r="E2" s="1443"/>
      <c r="F2" s="1443"/>
      <c r="G2" s="1443"/>
      <c r="H2" s="1443"/>
      <c r="I2" s="1443"/>
      <c r="J2" s="1443"/>
      <c r="K2" s="1443"/>
      <c r="L2" s="1443"/>
      <c r="M2" s="1443"/>
      <c r="N2" s="1443"/>
      <c r="O2" s="1443"/>
      <c r="P2" s="1443"/>
      <c r="Q2" s="1443"/>
      <c r="R2" s="1443"/>
      <c r="S2" s="1443"/>
      <c r="T2" s="1443"/>
      <c r="U2" s="1443"/>
      <c r="V2" s="1443"/>
      <c r="W2" s="1443"/>
      <c r="X2" s="1443"/>
      <c r="Y2" s="1443"/>
      <c r="Z2" s="1443"/>
      <c r="AA2" s="1443"/>
    </row>
    <row r="3" spans="1:27" ht="15.75" thickBot="1" x14ac:dyDescent="0.3">
      <c r="A3" s="1442" t="str">
        <f>'9911PY 2012-2018'!A3:X3</f>
        <v>For the Period October 1-31, 2021</v>
      </c>
      <c r="B3" s="1442"/>
      <c r="C3" s="1442"/>
      <c r="D3" s="1442"/>
      <c r="E3" s="1442"/>
      <c r="F3" s="1442"/>
      <c r="G3" s="1442"/>
      <c r="H3" s="1442"/>
      <c r="I3" s="1442"/>
      <c r="J3" s="1442"/>
      <c r="K3" s="1442"/>
      <c r="L3" s="1442"/>
      <c r="M3" s="1442"/>
      <c r="N3" s="1442"/>
      <c r="O3" s="1442"/>
      <c r="P3" s="1442"/>
      <c r="Q3" s="1442"/>
      <c r="R3" s="1442"/>
      <c r="S3" s="1442"/>
      <c r="T3" s="1442"/>
      <c r="U3" s="1442"/>
      <c r="V3" s="1442"/>
      <c r="W3" s="1442"/>
      <c r="X3" s="1442"/>
      <c r="Y3" s="1442"/>
      <c r="Z3" s="1442"/>
      <c r="AA3" s="1442"/>
    </row>
    <row r="4" spans="1:27" ht="39.75" thickTop="1" x14ac:dyDescent="0.25">
      <c r="A4" s="1387" t="s">
        <v>347</v>
      </c>
      <c r="B4" s="1388" t="s">
        <v>2</v>
      </c>
      <c r="C4" s="1317" t="s">
        <v>133</v>
      </c>
      <c r="D4" s="1317" t="s">
        <v>1406</v>
      </c>
      <c r="E4" s="1317" t="s">
        <v>1374</v>
      </c>
      <c r="F4" s="1389" t="s">
        <v>1388</v>
      </c>
      <c r="G4" s="1390" t="s">
        <v>1</v>
      </c>
      <c r="H4" s="1387" t="s">
        <v>316</v>
      </c>
      <c r="I4" s="1387" t="s">
        <v>314</v>
      </c>
      <c r="J4" s="1385" t="s">
        <v>346</v>
      </c>
      <c r="K4" s="1391"/>
      <c r="L4" s="1391"/>
      <c r="M4" s="1391"/>
      <c r="N4" s="1391"/>
      <c r="O4" s="1392"/>
      <c r="P4" s="1392"/>
      <c r="Q4" s="1393"/>
      <c r="R4" s="1393"/>
      <c r="S4" s="1393"/>
      <c r="T4" s="1393"/>
      <c r="U4" s="1393"/>
      <c r="V4" s="1393"/>
      <c r="W4" s="755" t="s">
        <v>316</v>
      </c>
      <c r="X4" s="755" t="s">
        <v>348</v>
      </c>
      <c r="Y4" s="755" t="s">
        <v>1</v>
      </c>
      <c r="Z4" s="755" t="s">
        <v>131</v>
      </c>
      <c r="AA4" s="755" t="s">
        <v>131</v>
      </c>
    </row>
    <row r="5" spans="1:27" ht="27" thickBot="1" x14ac:dyDescent="0.3">
      <c r="A5" s="1371"/>
      <c r="B5" s="1371" t="s">
        <v>3</v>
      </c>
      <c r="C5" s="1387" t="s">
        <v>134</v>
      </c>
      <c r="D5" s="1387"/>
      <c r="E5" s="1394">
        <v>44459</v>
      </c>
      <c r="F5" s="1394">
        <v>44480</v>
      </c>
      <c r="G5" s="1371" t="s">
        <v>314</v>
      </c>
      <c r="H5" s="1371" t="s">
        <v>314</v>
      </c>
      <c r="I5" s="1371" t="s">
        <v>315</v>
      </c>
      <c r="J5" s="752" t="s">
        <v>315</v>
      </c>
      <c r="K5" s="752" t="s">
        <v>0</v>
      </c>
      <c r="L5" s="752" t="s">
        <v>120</v>
      </c>
      <c r="M5" s="752" t="s">
        <v>121</v>
      </c>
      <c r="N5" s="752" t="s">
        <v>122</v>
      </c>
      <c r="O5" s="752" t="s">
        <v>123</v>
      </c>
      <c r="P5" s="752" t="s">
        <v>124</v>
      </c>
      <c r="Q5" s="752" t="s">
        <v>125</v>
      </c>
      <c r="R5" s="752" t="s">
        <v>126</v>
      </c>
      <c r="S5" s="752" t="s">
        <v>127</v>
      </c>
      <c r="T5" s="752" t="s">
        <v>128</v>
      </c>
      <c r="U5" s="752" t="s">
        <v>129</v>
      </c>
      <c r="V5" s="752" t="s">
        <v>130</v>
      </c>
      <c r="W5" s="752" t="s">
        <v>317</v>
      </c>
      <c r="X5" s="1395" t="s">
        <v>315</v>
      </c>
      <c r="Y5" s="752" t="s">
        <v>317</v>
      </c>
      <c r="Z5" s="752" t="s">
        <v>314</v>
      </c>
      <c r="AA5" s="752" t="s">
        <v>132</v>
      </c>
    </row>
    <row r="6" spans="1:27" ht="15.75" customHeight="1" thickTop="1" x14ac:dyDescent="0.25">
      <c r="A6" s="1396" t="s">
        <v>970</v>
      </c>
      <c r="B6" s="1397"/>
      <c r="C6" s="1397"/>
      <c r="D6" s="1397"/>
      <c r="E6" s="1397"/>
      <c r="F6" s="1397"/>
      <c r="G6" s="1397"/>
      <c r="H6" s="1397"/>
      <c r="I6" s="1397"/>
      <c r="J6" s="756"/>
      <c r="K6" s="756"/>
      <c r="L6" s="756"/>
      <c r="M6" s="756"/>
      <c r="N6" s="756"/>
      <c r="O6" s="756"/>
      <c r="P6" s="756"/>
      <c r="Q6" s="756"/>
      <c r="R6" s="756"/>
      <c r="S6" s="756"/>
      <c r="T6" s="756"/>
      <c r="U6" s="756"/>
      <c r="V6" s="756"/>
      <c r="W6" s="756"/>
      <c r="X6" s="756"/>
      <c r="Y6" s="756"/>
      <c r="Z6" s="756"/>
      <c r="AA6" s="756"/>
    </row>
    <row r="7" spans="1:27" ht="15.75" customHeight="1" x14ac:dyDescent="0.25">
      <c r="A7" s="1398" t="s">
        <v>988</v>
      </c>
      <c r="B7" s="1399"/>
      <c r="C7" s="1303"/>
      <c r="D7" s="1400"/>
      <c r="E7" s="1400"/>
      <c r="F7" s="1400"/>
      <c r="G7" s="1300">
        <f>C7</f>
        <v>0</v>
      </c>
      <c r="H7" s="1399"/>
      <c r="I7" s="1300">
        <f>G7</f>
        <v>0</v>
      </c>
      <c r="J7" s="1400">
        <f t="shared" ref="J7:J24" si="0">G7</f>
        <v>0</v>
      </c>
      <c r="K7" s="757"/>
      <c r="L7" s="757"/>
      <c r="M7" s="757"/>
      <c r="N7" s="757"/>
      <c r="O7" s="757"/>
      <c r="P7" s="757"/>
      <c r="Q7" s="757"/>
      <c r="R7" s="757"/>
      <c r="S7" s="757"/>
      <c r="T7" s="757"/>
      <c r="U7" s="757"/>
      <c r="V7" s="757"/>
      <c r="W7" s="757"/>
      <c r="X7" s="757"/>
      <c r="Y7" s="757"/>
      <c r="Z7" s="757"/>
      <c r="AA7" s="757"/>
    </row>
    <row r="8" spans="1:27" ht="15.75" customHeight="1" x14ac:dyDescent="0.25">
      <c r="A8" s="1398" t="s">
        <v>323</v>
      </c>
      <c r="B8" s="1399"/>
      <c r="C8" s="1303"/>
      <c r="D8" s="1400"/>
      <c r="E8" s="1400"/>
      <c r="F8" s="1400"/>
      <c r="G8" s="1300"/>
      <c r="H8" s="1399"/>
      <c r="I8" s="1300"/>
      <c r="J8" s="1400"/>
      <c r="K8" s="757"/>
      <c r="L8" s="757"/>
      <c r="M8" s="757"/>
      <c r="N8" s="757"/>
      <c r="O8" s="757"/>
      <c r="P8" s="757"/>
      <c r="Q8" s="757"/>
      <c r="R8" s="757"/>
      <c r="S8" s="757"/>
      <c r="T8" s="757"/>
      <c r="U8" s="757"/>
      <c r="V8" s="757"/>
      <c r="W8" s="757"/>
      <c r="X8" s="757"/>
      <c r="Y8" s="757"/>
      <c r="Z8" s="757"/>
      <c r="AA8" s="757"/>
    </row>
    <row r="9" spans="1:27" ht="27.75" customHeight="1" x14ac:dyDescent="0.25">
      <c r="A9" s="1401" t="s">
        <v>989</v>
      </c>
      <c r="B9" s="1402" t="s">
        <v>275</v>
      </c>
      <c r="C9" s="1403">
        <v>14300000</v>
      </c>
      <c r="D9" s="1427">
        <f>-242000</f>
        <v>-242000</v>
      </c>
      <c r="E9" s="1404"/>
      <c r="F9" s="1404"/>
      <c r="G9" s="1300">
        <f>SUM(C9:F9)</f>
        <v>14058000</v>
      </c>
      <c r="H9" s="1301">
        <f>G9</f>
        <v>14058000</v>
      </c>
      <c r="I9" s="1300">
        <f t="shared" ref="I9:I24" si="1">G9</f>
        <v>14058000</v>
      </c>
      <c r="J9" s="1400">
        <f t="shared" si="0"/>
        <v>14058000</v>
      </c>
      <c r="K9" s="1229"/>
      <c r="L9" s="1229"/>
      <c r="M9" s="1229"/>
      <c r="N9" s="1229"/>
      <c r="O9" s="1229"/>
      <c r="P9" s="1229"/>
      <c r="Q9" s="1228">
        <v>14058000</v>
      </c>
      <c r="R9" s="1229"/>
      <c r="S9" s="1229"/>
      <c r="T9" s="1229"/>
      <c r="U9" s="1229"/>
      <c r="V9" s="1229"/>
      <c r="W9" s="1228">
        <f>K9+L9+M9+N9+O9+P9+Q9+R9</f>
        <v>14058000</v>
      </c>
      <c r="X9" s="677">
        <f>T9</f>
        <v>0</v>
      </c>
      <c r="Y9" s="677">
        <f>W9+X9</f>
        <v>14058000</v>
      </c>
      <c r="Z9" s="677">
        <f>J9-Y9</f>
        <v>0</v>
      </c>
      <c r="AA9" s="1299">
        <f>G9-Y9</f>
        <v>0</v>
      </c>
    </row>
    <row r="10" spans="1:27" ht="18" customHeight="1" x14ac:dyDescent="0.25">
      <c r="A10" s="1405" t="s">
        <v>1398</v>
      </c>
      <c r="B10" s="1402"/>
      <c r="C10" s="1403"/>
      <c r="D10" s="1404"/>
      <c r="E10" s="1404"/>
      <c r="F10" s="1404"/>
      <c r="G10" s="1300"/>
      <c r="H10" s="1301"/>
      <c r="I10" s="1300"/>
      <c r="J10" s="1400"/>
      <c r="K10" s="1229"/>
      <c r="L10" s="1229"/>
      <c r="M10" s="1229"/>
      <c r="N10" s="1229"/>
      <c r="O10" s="1229"/>
      <c r="P10" s="1229"/>
      <c r="Q10" s="1228"/>
      <c r="R10" s="1229"/>
      <c r="S10" s="1229"/>
      <c r="T10" s="1229"/>
      <c r="U10" s="1229"/>
      <c r="V10" s="1229"/>
      <c r="W10" s="1228"/>
      <c r="X10" s="677">
        <f t="shared" ref="X10:X34" si="2">T10</f>
        <v>0</v>
      </c>
      <c r="Y10" s="677"/>
      <c r="Z10" s="677"/>
      <c r="AA10" s="1299"/>
    </row>
    <row r="11" spans="1:27" ht="38.25" x14ac:dyDescent="0.25">
      <c r="A11" s="1401" t="s">
        <v>990</v>
      </c>
      <c r="B11" s="1402" t="s">
        <v>280</v>
      </c>
      <c r="C11" s="1402">
        <v>4000000</v>
      </c>
      <c r="D11" s="1406"/>
      <c r="E11" s="1406"/>
      <c r="F11" s="1406">
        <f>-4000000</f>
        <v>-4000000</v>
      </c>
      <c r="G11" s="1300">
        <f t="shared" ref="G11:G34" si="3">SUM(C11:F11)</f>
        <v>0</v>
      </c>
      <c r="H11" s="1301">
        <f t="shared" ref="H11:H34" si="4">G11</f>
        <v>0</v>
      </c>
      <c r="I11" s="1300">
        <f t="shared" si="1"/>
        <v>0</v>
      </c>
      <c r="J11" s="1400">
        <f t="shared" si="0"/>
        <v>0</v>
      </c>
      <c r="K11" s="1229"/>
      <c r="L11" s="1229"/>
      <c r="M11" s="1229"/>
      <c r="N11" s="1229"/>
      <c r="O11" s="1229"/>
      <c r="P11" s="1229"/>
      <c r="Q11" s="1228"/>
      <c r="R11" s="1229"/>
      <c r="S11" s="1229"/>
      <c r="T11" s="1229"/>
      <c r="U11" s="1229"/>
      <c r="V11" s="1229"/>
      <c r="W11" s="1228">
        <f t="shared" ref="W11:W34" si="5">K11+L11+M11+N11+O11+P11+Q11+R11</f>
        <v>0</v>
      </c>
      <c r="X11" s="677">
        <f t="shared" si="2"/>
        <v>0</v>
      </c>
      <c r="Y11" s="170">
        <f t="shared" ref="Y11:Y34" si="6">W11+X11</f>
        <v>0</v>
      </c>
      <c r="Z11" s="677">
        <f t="shared" ref="Z11:Z32" si="7">J11-Y11</f>
        <v>0</v>
      </c>
      <c r="AA11" s="1299">
        <f t="shared" ref="AA11:AA32" si="8">G11-Y11</f>
        <v>0</v>
      </c>
    </row>
    <row r="12" spans="1:27" s="1409" customFormat="1" x14ac:dyDescent="0.25">
      <c r="A12" s="1398" t="s">
        <v>991</v>
      </c>
      <c r="B12" s="1402"/>
      <c r="C12" s="735"/>
      <c r="D12" s="1407"/>
      <c r="E12" s="1407"/>
      <c r="F12" s="1407"/>
      <c r="G12" s="1300">
        <f t="shared" si="3"/>
        <v>0</v>
      </c>
      <c r="H12" s="1301">
        <f t="shared" si="4"/>
        <v>0</v>
      </c>
      <c r="I12" s="1300">
        <f t="shared" si="1"/>
        <v>0</v>
      </c>
      <c r="J12" s="1400">
        <f t="shared" si="0"/>
        <v>0</v>
      </c>
      <c r="K12" s="1408"/>
      <c r="L12" s="1408"/>
      <c r="M12" s="1408"/>
      <c r="N12" s="1408"/>
      <c r="O12" s="1408"/>
      <c r="P12" s="1408"/>
      <c r="Q12" s="170"/>
      <c r="R12" s="1408"/>
      <c r="S12" s="1408"/>
      <c r="T12" s="1408"/>
      <c r="U12" s="1408"/>
      <c r="V12" s="1408"/>
      <c r="W12" s="1228">
        <f t="shared" si="5"/>
        <v>0</v>
      </c>
      <c r="X12" s="677">
        <f t="shared" si="2"/>
        <v>0</v>
      </c>
      <c r="Y12" s="170">
        <f t="shared" si="6"/>
        <v>0</v>
      </c>
      <c r="Z12" s="677">
        <f t="shared" si="7"/>
        <v>0</v>
      </c>
      <c r="AA12" s="1299">
        <f t="shared" si="8"/>
        <v>0</v>
      </c>
    </row>
    <row r="13" spans="1:27" s="1409" customFormat="1" x14ac:dyDescent="0.25">
      <c r="A13" s="1410" t="s">
        <v>1399</v>
      </c>
      <c r="B13" s="1402"/>
      <c r="C13" s="735"/>
      <c r="D13" s="1407"/>
      <c r="E13" s="1407"/>
      <c r="F13" s="1407"/>
      <c r="G13" s="1300"/>
      <c r="H13" s="1301"/>
      <c r="I13" s="1300"/>
      <c r="J13" s="1400"/>
      <c r="K13" s="1408"/>
      <c r="L13" s="1408"/>
      <c r="M13" s="1408"/>
      <c r="N13" s="1408"/>
      <c r="O13" s="1408"/>
      <c r="P13" s="1408"/>
      <c r="Q13" s="170"/>
      <c r="R13" s="1408"/>
      <c r="S13" s="1408"/>
      <c r="T13" s="1408"/>
      <c r="U13" s="1408"/>
      <c r="V13" s="1408"/>
      <c r="W13" s="1228"/>
      <c r="X13" s="677"/>
      <c r="Y13" s="170"/>
      <c r="Z13" s="677"/>
      <c r="AA13" s="1299"/>
    </row>
    <row r="14" spans="1:27" ht="27.75" customHeight="1" x14ac:dyDescent="0.25">
      <c r="A14" s="1411" t="s">
        <v>992</v>
      </c>
      <c r="B14" s="1402" t="s">
        <v>1004</v>
      </c>
      <c r="C14" s="1412">
        <v>5000000</v>
      </c>
      <c r="D14" s="1413"/>
      <c r="E14" s="1413"/>
      <c r="F14" s="1413"/>
      <c r="G14" s="1300">
        <f t="shared" si="3"/>
        <v>5000000</v>
      </c>
      <c r="H14" s="1301">
        <f t="shared" si="4"/>
        <v>5000000</v>
      </c>
      <c r="I14" s="1300">
        <f t="shared" si="1"/>
        <v>5000000</v>
      </c>
      <c r="J14" s="1400">
        <f t="shared" si="0"/>
        <v>5000000</v>
      </c>
      <c r="K14" s="1229"/>
      <c r="L14" s="1229"/>
      <c r="M14" s="1229"/>
      <c r="N14" s="1229"/>
      <c r="O14" s="1229"/>
      <c r="P14" s="1229"/>
      <c r="Q14" s="1228"/>
      <c r="R14" s="1229"/>
      <c r="S14" s="1229"/>
      <c r="T14" s="1229"/>
      <c r="U14" s="1229"/>
      <c r="V14" s="1229"/>
      <c r="W14" s="1228">
        <f t="shared" si="5"/>
        <v>0</v>
      </c>
      <c r="X14" s="677">
        <f t="shared" si="2"/>
        <v>0</v>
      </c>
      <c r="Y14" s="170">
        <f t="shared" si="6"/>
        <v>0</v>
      </c>
      <c r="Z14" s="677">
        <f t="shared" si="7"/>
        <v>5000000</v>
      </c>
      <c r="AA14" s="1299">
        <f t="shared" si="8"/>
        <v>5000000</v>
      </c>
    </row>
    <row r="15" spans="1:27" ht="15" customHeight="1" x14ac:dyDescent="0.25">
      <c r="A15" s="1398" t="s">
        <v>993</v>
      </c>
      <c r="B15" s="1402"/>
      <c r="C15" s="1414"/>
      <c r="D15" s="1415"/>
      <c r="E15" s="1415"/>
      <c r="F15" s="1415"/>
      <c r="G15" s="1300">
        <f t="shared" si="3"/>
        <v>0</v>
      </c>
      <c r="H15" s="1301"/>
      <c r="I15" s="1300"/>
      <c r="J15" s="1400"/>
      <c r="K15" s="1229"/>
      <c r="L15" s="1229"/>
      <c r="M15" s="1229"/>
      <c r="N15" s="1229"/>
      <c r="O15" s="1229"/>
      <c r="P15" s="1229"/>
      <c r="Q15" s="1228"/>
      <c r="R15" s="1229"/>
      <c r="S15" s="1229"/>
      <c r="T15" s="1229"/>
      <c r="U15" s="1229"/>
      <c r="V15" s="1229"/>
      <c r="W15" s="1228">
        <f t="shared" si="5"/>
        <v>0</v>
      </c>
      <c r="X15" s="677">
        <f t="shared" si="2"/>
        <v>0</v>
      </c>
      <c r="Y15" s="170">
        <f t="shared" si="6"/>
        <v>0</v>
      </c>
      <c r="Z15" s="677">
        <f t="shared" si="7"/>
        <v>0</v>
      </c>
      <c r="AA15" s="1299">
        <f t="shared" si="8"/>
        <v>0</v>
      </c>
    </row>
    <row r="16" spans="1:27" x14ac:dyDescent="0.25">
      <c r="A16" s="1410" t="s">
        <v>994</v>
      </c>
      <c r="B16" s="1402"/>
      <c r="C16" s="1414"/>
      <c r="D16" s="1415"/>
      <c r="E16" s="1415"/>
      <c r="F16" s="1415"/>
      <c r="G16" s="1300">
        <f t="shared" si="3"/>
        <v>0</v>
      </c>
      <c r="H16" s="1301"/>
      <c r="I16" s="1300"/>
      <c r="J16" s="1400"/>
      <c r="K16" s="1229"/>
      <c r="L16" s="1229"/>
      <c r="M16" s="1229"/>
      <c r="N16" s="1229"/>
      <c r="O16" s="1229"/>
      <c r="P16" s="1229"/>
      <c r="Q16" s="1228"/>
      <c r="R16" s="1229"/>
      <c r="S16" s="1229"/>
      <c r="T16" s="1229"/>
      <c r="U16" s="1229"/>
      <c r="V16" s="1229"/>
      <c r="W16" s="1228">
        <f t="shared" si="5"/>
        <v>0</v>
      </c>
      <c r="X16" s="677">
        <f t="shared" si="2"/>
        <v>0</v>
      </c>
      <c r="Y16" s="170">
        <f t="shared" si="6"/>
        <v>0</v>
      </c>
      <c r="Z16" s="677">
        <f t="shared" si="7"/>
        <v>0</v>
      </c>
      <c r="AA16" s="1299">
        <f t="shared" si="8"/>
        <v>0</v>
      </c>
    </row>
    <row r="17" spans="1:27" x14ac:dyDescent="0.25">
      <c r="A17" s="1410" t="s">
        <v>1400</v>
      </c>
      <c r="B17" s="1402"/>
      <c r="C17" s="1414"/>
      <c r="D17" s="1415"/>
      <c r="E17" s="1415"/>
      <c r="F17" s="1415"/>
      <c r="G17" s="1300"/>
      <c r="H17" s="1301"/>
      <c r="I17" s="1300"/>
      <c r="J17" s="1400"/>
      <c r="K17" s="1229"/>
      <c r="L17" s="1229"/>
      <c r="M17" s="1229"/>
      <c r="N17" s="1229"/>
      <c r="O17" s="1229"/>
      <c r="P17" s="1229"/>
      <c r="Q17" s="1228"/>
      <c r="R17" s="1229"/>
      <c r="S17" s="1229"/>
      <c r="T17" s="1229"/>
      <c r="U17" s="1229"/>
      <c r="V17" s="1229"/>
      <c r="W17" s="1228"/>
      <c r="X17" s="677"/>
      <c r="Y17" s="170"/>
      <c r="Z17" s="677"/>
      <c r="AA17" s="1299"/>
    </row>
    <row r="18" spans="1:27" x14ac:dyDescent="0.25">
      <c r="A18" s="1416" t="s">
        <v>995</v>
      </c>
      <c r="B18" s="1402" t="s">
        <v>654</v>
      </c>
      <c r="C18" s="1402"/>
      <c r="D18" s="1402"/>
      <c r="E18" s="1402"/>
      <c r="F18" s="1402"/>
      <c r="G18" s="1300">
        <f t="shared" si="3"/>
        <v>0</v>
      </c>
      <c r="H18" s="1301">
        <f t="shared" si="4"/>
        <v>0</v>
      </c>
      <c r="I18" s="1302">
        <f t="shared" si="1"/>
        <v>0</v>
      </c>
      <c r="J18" s="1303">
        <f t="shared" si="0"/>
        <v>0</v>
      </c>
      <c r="K18" s="1229"/>
      <c r="L18" s="1229"/>
      <c r="M18" s="1229"/>
      <c r="N18" s="1229"/>
      <c r="O18" s="1229"/>
      <c r="P18" s="1229"/>
      <c r="Q18" s="1228"/>
      <c r="R18" s="1229"/>
      <c r="S18" s="1229"/>
      <c r="T18" s="1229"/>
      <c r="U18" s="1229"/>
      <c r="V18" s="1229"/>
      <c r="W18" s="1228">
        <f t="shared" si="5"/>
        <v>0</v>
      </c>
      <c r="X18" s="677">
        <f t="shared" si="2"/>
        <v>0</v>
      </c>
      <c r="Y18" s="170">
        <f t="shared" si="6"/>
        <v>0</v>
      </c>
      <c r="Z18" s="677">
        <f t="shared" si="7"/>
        <v>0</v>
      </c>
      <c r="AA18" s="1299">
        <f t="shared" si="8"/>
        <v>0</v>
      </c>
    </row>
    <row r="19" spans="1:27" x14ac:dyDescent="0.25">
      <c r="A19" s="1417" t="s">
        <v>996</v>
      </c>
      <c r="B19" s="1402"/>
      <c r="C19" s="1414">
        <v>1500000</v>
      </c>
      <c r="D19" s="1414"/>
      <c r="E19" s="1414"/>
      <c r="F19" s="1414"/>
      <c r="G19" s="1300">
        <f t="shared" si="3"/>
        <v>1500000</v>
      </c>
      <c r="H19" s="1301">
        <f t="shared" si="4"/>
        <v>1500000</v>
      </c>
      <c r="I19" s="1302">
        <f t="shared" si="1"/>
        <v>1500000</v>
      </c>
      <c r="J19" s="1303">
        <f t="shared" si="0"/>
        <v>1500000</v>
      </c>
      <c r="K19" s="1408"/>
      <c r="L19" s="1408"/>
      <c r="M19" s="1408"/>
      <c r="N19" s="1408"/>
      <c r="O19" s="1408"/>
      <c r="P19" s="1408"/>
      <c r="Q19" s="170"/>
      <c r="R19" s="1408"/>
      <c r="S19" s="1408"/>
      <c r="T19" s="1408"/>
      <c r="U19" s="1408"/>
      <c r="V19" s="1408"/>
      <c r="W19" s="1228">
        <f t="shared" si="5"/>
        <v>0</v>
      </c>
      <c r="X19" s="677">
        <f t="shared" si="2"/>
        <v>0</v>
      </c>
      <c r="Y19" s="170">
        <f t="shared" si="6"/>
        <v>0</v>
      </c>
      <c r="Z19" s="677">
        <f t="shared" si="7"/>
        <v>1500000</v>
      </c>
      <c r="AA19" s="1299">
        <f t="shared" si="8"/>
        <v>1500000</v>
      </c>
    </row>
    <row r="20" spans="1:27" ht="15" customHeight="1" x14ac:dyDescent="0.25">
      <c r="A20" s="1410" t="s">
        <v>1401</v>
      </c>
      <c r="B20" s="1402"/>
      <c r="C20" s="1414"/>
      <c r="D20" s="1414"/>
      <c r="E20" s="1414"/>
      <c r="F20" s="1414"/>
      <c r="G20" s="1300">
        <f t="shared" si="3"/>
        <v>0</v>
      </c>
      <c r="H20" s="1301">
        <f t="shared" si="4"/>
        <v>0</v>
      </c>
      <c r="I20" s="1302">
        <f t="shared" si="1"/>
        <v>0</v>
      </c>
      <c r="J20" s="1303">
        <f t="shared" si="0"/>
        <v>0</v>
      </c>
      <c r="K20" s="1229"/>
      <c r="L20" s="1229"/>
      <c r="M20" s="1229"/>
      <c r="N20" s="1229"/>
      <c r="O20" s="1229"/>
      <c r="P20" s="1229"/>
      <c r="Q20" s="1228"/>
      <c r="R20" s="1229"/>
      <c r="S20" s="1229"/>
      <c r="T20" s="1229"/>
      <c r="U20" s="1229"/>
      <c r="V20" s="1229"/>
      <c r="W20" s="1228">
        <f t="shared" si="5"/>
        <v>0</v>
      </c>
      <c r="X20" s="677">
        <f t="shared" si="2"/>
        <v>0</v>
      </c>
      <c r="Y20" s="170">
        <f t="shared" si="6"/>
        <v>0</v>
      </c>
      <c r="Z20" s="677">
        <f t="shared" si="7"/>
        <v>0</v>
      </c>
      <c r="AA20" s="1299">
        <f t="shared" si="8"/>
        <v>0</v>
      </c>
    </row>
    <row r="21" spans="1:27" ht="30.75" customHeight="1" x14ac:dyDescent="0.25">
      <c r="A21" s="1401" t="s">
        <v>997</v>
      </c>
      <c r="B21" s="1402" t="s">
        <v>1005</v>
      </c>
      <c r="C21" s="1414">
        <v>1000000</v>
      </c>
      <c r="D21" s="1414"/>
      <c r="E21" s="1414"/>
      <c r="F21" s="1414"/>
      <c r="G21" s="1300">
        <f t="shared" si="3"/>
        <v>1000000</v>
      </c>
      <c r="H21" s="1301">
        <f t="shared" si="4"/>
        <v>1000000</v>
      </c>
      <c r="I21" s="1302">
        <f t="shared" si="1"/>
        <v>1000000</v>
      </c>
      <c r="J21" s="1303">
        <f t="shared" si="0"/>
        <v>1000000</v>
      </c>
      <c r="K21" s="1229"/>
      <c r="L21" s="1229"/>
      <c r="M21" s="1229"/>
      <c r="N21" s="1229"/>
      <c r="O21" s="1229"/>
      <c r="P21" s="1229"/>
      <c r="Q21" s="1228"/>
      <c r="R21" s="1229"/>
      <c r="S21" s="1229"/>
      <c r="T21" s="1229"/>
      <c r="U21" s="1229"/>
      <c r="V21" s="1229"/>
      <c r="W21" s="1228">
        <f t="shared" si="5"/>
        <v>0</v>
      </c>
      <c r="X21" s="677">
        <f t="shared" si="2"/>
        <v>0</v>
      </c>
      <c r="Y21" s="170">
        <f t="shared" si="6"/>
        <v>0</v>
      </c>
      <c r="Z21" s="677">
        <f t="shared" si="7"/>
        <v>1000000</v>
      </c>
      <c r="AA21" s="1299">
        <f t="shared" si="8"/>
        <v>1000000</v>
      </c>
    </row>
    <row r="22" spans="1:27" ht="30.75" customHeight="1" x14ac:dyDescent="0.25">
      <c r="A22" s="1401" t="s">
        <v>1379</v>
      </c>
      <c r="B22" s="1402"/>
      <c r="C22" s="1414"/>
      <c r="D22" s="1414"/>
      <c r="E22" s="1403">
        <v>200000</v>
      </c>
      <c r="F22" s="1403"/>
      <c r="G22" s="1300">
        <f t="shared" si="3"/>
        <v>200000</v>
      </c>
      <c r="H22" s="1301"/>
      <c r="I22" s="1302"/>
      <c r="J22" s="1303"/>
      <c r="K22" s="1229"/>
      <c r="L22" s="1229"/>
      <c r="M22" s="1229"/>
      <c r="N22" s="1229"/>
      <c r="O22" s="1229"/>
      <c r="P22" s="1229"/>
      <c r="Q22" s="1228"/>
      <c r="R22" s="1229"/>
      <c r="S22" s="1229"/>
      <c r="T22" s="1229"/>
      <c r="U22" s="1229"/>
      <c r="V22" s="1229"/>
      <c r="W22" s="1228"/>
      <c r="X22" s="677">
        <f t="shared" si="2"/>
        <v>0</v>
      </c>
      <c r="Y22" s="170"/>
      <c r="Z22" s="677"/>
      <c r="AA22" s="1299"/>
    </row>
    <row r="23" spans="1:27" x14ac:dyDescent="0.25">
      <c r="A23" s="1410" t="s">
        <v>1402</v>
      </c>
      <c r="B23" s="1418"/>
      <c r="C23" s="1414"/>
      <c r="D23" s="1414"/>
      <c r="E23" s="1414"/>
      <c r="F23" s="1414"/>
      <c r="G23" s="1300"/>
      <c r="H23" s="1301"/>
      <c r="I23" s="1302"/>
      <c r="J23" s="1303"/>
      <c r="K23" s="1229"/>
      <c r="L23" s="1229"/>
      <c r="M23" s="1229"/>
      <c r="N23" s="1229"/>
      <c r="O23" s="1229"/>
      <c r="P23" s="1229"/>
      <c r="Q23" s="1228"/>
      <c r="R23" s="1229"/>
      <c r="S23" s="1229"/>
      <c r="T23" s="1229"/>
      <c r="U23" s="1229"/>
      <c r="V23" s="1229"/>
      <c r="W23" s="1228"/>
      <c r="X23" s="677"/>
      <c r="Y23" s="170"/>
      <c r="Z23" s="677"/>
      <c r="AA23" s="1299"/>
    </row>
    <row r="24" spans="1:27" x14ac:dyDescent="0.25">
      <c r="A24" s="1410" t="s">
        <v>998</v>
      </c>
      <c r="B24" s="1418"/>
      <c r="C24" s="1414"/>
      <c r="D24" s="1414"/>
      <c r="E24" s="1414"/>
      <c r="F24" s="1414"/>
      <c r="G24" s="1300">
        <f t="shared" si="3"/>
        <v>0</v>
      </c>
      <c r="H24" s="1301">
        <f t="shared" si="4"/>
        <v>0</v>
      </c>
      <c r="I24" s="1302">
        <f t="shared" si="1"/>
        <v>0</v>
      </c>
      <c r="J24" s="1303">
        <f t="shared" si="0"/>
        <v>0</v>
      </c>
      <c r="K24" s="1229"/>
      <c r="L24" s="1229"/>
      <c r="M24" s="1229"/>
      <c r="N24" s="1229"/>
      <c r="O24" s="1229"/>
      <c r="P24" s="1229"/>
      <c r="Q24" s="1228"/>
      <c r="R24" s="1229"/>
      <c r="S24" s="1229"/>
      <c r="T24" s="1229"/>
      <c r="U24" s="1229"/>
      <c r="V24" s="1229"/>
      <c r="W24" s="1228">
        <f t="shared" si="5"/>
        <v>0</v>
      </c>
      <c r="X24" s="677">
        <f t="shared" si="2"/>
        <v>0</v>
      </c>
      <c r="Y24" s="170">
        <f t="shared" si="6"/>
        <v>0</v>
      </c>
      <c r="Z24" s="677">
        <f t="shared" si="7"/>
        <v>0</v>
      </c>
      <c r="AA24" s="1299">
        <f t="shared" si="8"/>
        <v>0</v>
      </c>
    </row>
    <row r="25" spans="1:27" x14ac:dyDescent="0.25">
      <c r="A25" s="1416" t="s">
        <v>999</v>
      </c>
      <c r="B25" s="1402" t="s">
        <v>1005</v>
      </c>
      <c r="C25" s="1414">
        <v>450000</v>
      </c>
      <c r="D25" s="1414"/>
      <c r="E25" s="1414"/>
      <c r="F25" s="1414"/>
      <c r="G25" s="1300">
        <f t="shared" si="3"/>
        <v>450000</v>
      </c>
      <c r="H25" s="1301">
        <f t="shared" si="4"/>
        <v>450000</v>
      </c>
      <c r="I25" s="1302">
        <f t="shared" ref="I25:I34" si="9">G25</f>
        <v>450000</v>
      </c>
      <c r="J25" s="1303">
        <f t="shared" ref="J25:J34" si="10">G25</f>
        <v>450000</v>
      </c>
      <c r="K25" s="1229"/>
      <c r="L25" s="1229"/>
      <c r="M25" s="1229"/>
      <c r="N25" s="1229"/>
      <c r="O25" s="1229"/>
      <c r="P25" s="1229"/>
      <c r="Q25" s="1228"/>
      <c r="R25" s="1229"/>
      <c r="S25" s="1229"/>
      <c r="T25" s="1229"/>
      <c r="U25" s="1229"/>
      <c r="V25" s="1229"/>
      <c r="W25" s="1228">
        <f t="shared" si="5"/>
        <v>0</v>
      </c>
      <c r="X25" s="677">
        <f t="shared" si="2"/>
        <v>0</v>
      </c>
      <c r="Y25" s="170">
        <f t="shared" si="6"/>
        <v>0</v>
      </c>
      <c r="Z25" s="677">
        <f t="shared" si="7"/>
        <v>450000</v>
      </c>
      <c r="AA25" s="1299">
        <f t="shared" si="8"/>
        <v>450000</v>
      </c>
    </row>
    <row r="26" spans="1:27" ht="15.75" x14ac:dyDescent="0.25">
      <c r="A26" s="1410" t="s">
        <v>1000</v>
      </c>
      <c r="B26" s="766"/>
      <c r="C26" s="735"/>
      <c r="D26" s="735"/>
      <c r="E26" s="735"/>
      <c r="F26" s="735"/>
      <c r="G26" s="1300">
        <f t="shared" si="3"/>
        <v>0</v>
      </c>
      <c r="H26" s="1301">
        <f t="shared" si="4"/>
        <v>0</v>
      </c>
      <c r="I26" s="1302">
        <f t="shared" si="9"/>
        <v>0</v>
      </c>
      <c r="J26" s="1303">
        <f t="shared" si="10"/>
        <v>0</v>
      </c>
      <c r="K26" s="1229"/>
      <c r="L26" s="1229"/>
      <c r="M26" s="1229"/>
      <c r="N26" s="1229"/>
      <c r="O26" s="1229"/>
      <c r="P26" s="1229"/>
      <c r="Q26" s="1228"/>
      <c r="R26" s="1229"/>
      <c r="S26" s="1229"/>
      <c r="T26" s="1229"/>
      <c r="U26" s="1229"/>
      <c r="V26" s="1229"/>
      <c r="W26" s="1228">
        <f t="shared" si="5"/>
        <v>0</v>
      </c>
      <c r="X26" s="677">
        <f t="shared" si="2"/>
        <v>0</v>
      </c>
      <c r="Y26" s="170">
        <f t="shared" si="6"/>
        <v>0</v>
      </c>
      <c r="Z26" s="677">
        <f t="shared" si="7"/>
        <v>0</v>
      </c>
      <c r="AA26" s="1299">
        <f t="shared" si="8"/>
        <v>0</v>
      </c>
    </row>
    <row r="27" spans="1:27" x14ac:dyDescent="0.25">
      <c r="A27" s="1416" t="s">
        <v>1001</v>
      </c>
      <c r="B27" s="1402" t="s">
        <v>1006</v>
      </c>
      <c r="C27" s="1414">
        <v>350000</v>
      </c>
      <c r="D27" s="1428">
        <f>-3255</f>
        <v>-3255</v>
      </c>
      <c r="E27" s="1414"/>
      <c r="F27" s="1414"/>
      <c r="G27" s="1300">
        <f t="shared" si="3"/>
        <v>346745</v>
      </c>
      <c r="H27" s="1301">
        <f t="shared" si="4"/>
        <v>346745</v>
      </c>
      <c r="I27" s="1302">
        <f t="shared" si="9"/>
        <v>346745</v>
      </c>
      <c r="J27" s="1303">
        <f t="shared" si="10"/>
        <v>346745</v>
      </c>
      <c r="K27" s="1229"/>
      <c r="L27" s="1229"/>
      <c r="M27" s="1229"/>
      <c r="N27" s="1229"/>
      <c r="O27" s="1229"/>
      <c r="P27" s="1229"/>
      <c r="Q27" s="1228"/>
      <c r="R27" s="1228">
        <v>346745</v>
      </c>
      <c r="S27" s="1229"/>
      <c r="T27" s="1229"/>
      <c r="U27" s="1229"/>
      <c r="V27" s="1229"/>
      <c r="W27" s="1228">
        <f t="shared" si="5"/>
        <v>346745</v>
      </c>
      <c r="X27" s="677">
        <f t="shared" si="2"/>
        <v>0</v>
      </c>
      <c r="Y27" s="170">
        <f t="shared" si="6"/>
        <v>346745</v>
      </c>
      <c r="Z27" s="677">
        <f t="shared" si="7"/>
        <v>0</v>
      </c>
      <c r="AA27" s="1299">
        <f t="shared" si="8"/>
        <v>0</v>
      </c>
    </row>
    <row r="28" spans="1:27" ht="15.75" x14ac:dyDescent="0.25">
      <c r="A28" s="1419" t="s">
        <v>973</v>
      </c>
      <c r="B28" s="766"/>
      <c r="C28" s="735"/>
      <c r="D28" s="735"/>
      <c r="E28" s="735"/>
      <c r="F28" s="735"/>
      <c r="G28" s="1300">
        <f t="shared" si="3"/>
        <v>0</v>
      </c>
      <c r="H28" s="1301">
        <f t="shared" si="4"/>
        <v>0</v>
      </c>
      <c r="I28" s="1302">
        <f t="shared" si="9"/>
        <v>0</v>
      </c>
      <c r="J28" s="1303">
        <f t="shared" si="10"/>
        <v>0</v>
      </c>
      <c r="K28" s="1229"/>
      <c r="L28" s="1229"/>
      <c r="M28" s="1229"/>
      <c r="N28" s="1229"/>
      <c r="O28" s="1229"/>
      <c r="P28" s="1229"/>
      <c r="Q28" s="1228"/>
      <c r="R28" s="1229"/>
      <c r="S28" s="1229"/>
      <c r="T28" s="1229"/>
      <c r="U28" s="1229"/>
      <c r="V28" s="1229"/>
      <c r="W28" s="1228">
        <f t="shared" si="5"/>
        <v>0</v>
      </c>
      <c r="X28" s="677">
        <f t="shared" si="2"/>
        <v>0</v>
      </c>
      <c r="Y28" s="170">
        <f t="shared" si="6"/>
        <v>0</v>
      </c>
      <c r="Z28" s="677">
        <f t="shared" si="7"/>
        <v>0</v>
      </c>
      <c r="AA28" s="1299">
        <f t="shared" si="8"/>
        <v>0</v>
      </c>
    </row>
    <row r="29" spans="1:27" ht="15.75" x14ac:dyDescent="0.25">
      <c r="A29" s="1410" t="s">
        <v>1400</v>
      </c>
      <c r="B29" s="766"/>
      <c r="C29" s="735"/>
      <c r="D29" s="735"/>
      <c r="E29" s="735"/>
      <c r="F29" s="735"/>
      <c r="G29" s="1300"/>
      <c r="H29" s="1301"/>
      <c r="I29" s="1302"/>
      <c r="J29" s="1303"/>
      <c r="K29" s="1229"/>
      <c r="L29" s="1229"/>
      <c r="M29" s="1229"/>
      <c r="N29" s="1229"/>
      <c r="O29" s="1229"/>
      <c r="P29" s="1229"/>
      <c r="Q29" s="1228"/>
      <c r="R29" s="1229"/>
      <c r="S29" s="1229"/>
      <c r="T29" s="1229"/>
      <c r="U29" s="1229"/>
      <c r="V29" s="1229"/>
      <c r="W29" s="1228"/>
      <c r="X29" s="677"/>
      <c r="Y29" s="170"/>
      <c r="Z29" s="677"/>
      <c r="AA29" s="1299"/>
    </row>
    <row r="30" spans="1:27" ht="15.75" x14ac:dyDescent="0.25">
      <c r="A30" s="1398" t="s">
        <v>993</v>
      </c>
      <c r="B30" s="766"/>
      <c r="C30" s="735"/>
      <c r="D30" s="735"/>
      <c r="E30" s="735"/>
      <c r="F30" s="735"/>
      <c r="G30" s="1300">
        <f t="shared" si="3"/>
        <v>0</v>
      </c>
      <c r="H30" s="1301">
        <f t="shared" si="4"/>
        <v>0</v>
      </c>
      <c r="I30" s="1302">
        <f t="shared" si="9"/>
        <v>0</v>
      </c>
      <c r="J30" s="1303">
        <f t="shared" si="10"/>
        <v>0</v>
      </c>
      <c r="K30" s="1229"/>
      <c r="L30" s="1229"/>
      <c r="M30" s="1229"/>
      <c r="N30" s="1229"/>
      <c r="O30" s="1229"/>
      <c r="P30" s="1229"/>
      <c r="Q30" s="1228"/>
      <c r="R30" s="1229"/>
      <c r="S30" s="1229"/>
      <c r="T30" s="1229"/>
      <c r="U30" s="1229"/>
      <c r="V30" s="1229"/>
      <c r="W30" s="1228">
        <f t="shared" si="5"/>
        <v>0</v>
      </c>
      <c r="X30" s="677">
        <f t="shared" si="2"/>
        <v>0</v>
      </c>
      <c r="Y30" s="170">
        <f t="shared" si="6"/>
        <v>0</v>
      </c>
      <c r="Z30" s="677">
        <f t="shared" si="7"/>
        <v>0</v>
      </c>
      <c r="AA30" s="1299">
        <f t="shared" si="8"/>
        <v>0</v>
      </c>
    </row>
    <row r="31" spans="1:27" ht="26.25" x14ac:dyDescent="0.25">
      <c r="A31" s="1420" t="s">
        <v>1002</v>
      </c>
      <c r="B31" s="1402" t="s">
        <v>1007</v>
      </c>
      <c r="C31" s="1402">
        <v>4000000</v>
      </c>
      <c r="D31" s="1402"/>
      <c r="E31" s="1402"/>
      <c r="F31" s="1402">
        <f>4000000</f>
        <v>4000000</v>
      </c>
      <c r="G31" s="1300">
        <f t="shared" si="3"/>
        <v>8000000</v>
      </c>
      <c r="H31" s="1301">
        <f t="shared" si="4"/>
        <v>8000000</v>
      </c>
      <c r="I31" s="1302">
        <f t="shared" si="9"/>
        <v>8000000</v>
      </c>
      <c r="J31" s="1303">
        <f t="shared" si="10"/>
        <v>8000000</v>
      </c>
      <c r="K31" s="1229"/>
      <c r="L31" s="1229"/>
      <c r="M31" s="1229"/>
      <c r="N31" s="1229"/>
      <c r="O31" s="1229"/>
      <c r="P31" s="1229"/>
      <c r="Q31" s="1228"/>
      <c r="R31" s="1229"/>
      <c r="S31" s="1229"/>
      <c r="T31" s="1229">
        <v>3000000</v>
      </c>
      <c r="U31" s="1229"/>
      <c r="V31" s="1229"/>
      <c r="W31" s="1228">
        <f t="shared" si="5"/>
        <v>0</v>
      </c>
      <c r="X31" s="677">
        <f t="shared" si="2"/>
        <v>3000000</v>
      </c>
      <c r="Y31" s="170">
        <f t="shared" si="6"/>
        <v>3000000</v>
      </c>
      <c r="Z31" s="677">
        <f t="shared" si="7"/>
        <v>5000000</v>
      </c>
      <c r="AA31" s="1299">
        <f t="shared" si="8"/>
        <v>5000000</v>
      </c>
    </row>
    <row r="32" spans="1:27" ht="15.75" x14ac:dyDescent="0.25">
      <c r="A32" s="1421" t="s">
        <v>1380</v>
      </c>
      <c r="B32" s="766"/>
      <c r="C32" s="1402"/>
      <c r="D32" s="1402"/>
      <c r="E32" s="1402"/>
      <c r="F32" s="1402"/>
      <c r="G32" s="1300">
        <f t="shared" si="3"/>
        <v>0</v>
      </c>
      <c r="H32" s="1301">
        <f t="shared" si="4"/>
        <v>0</v>
      </c>
      <c r="I32" s="1302">
        <f t="shared" si="9"/>
        <v>0</v>
      </c>
      <c r="J32" s="1303">
        <f t="shared" si="10"/>
        <v>0</v>
      </c>
      <c r="K32" s="1229"/>
      <c r="L32" s="1229"/>
      <c r="M32" s="1229"/>
      <c r="N32" s="1229"/>
      <c r="O32" s="1229"/>
      <c r="P32" s="1229"/>
      <c r="Q32" s="1228"/>
      <c r="R32" s="1229"/>
      <c r="S32" s="1229"/>
      <c r="T32" s="1229"/>
      <c r="U32" s="1229"/>
      <c r="V32" s="1229"/>
      <c r="W32" s="1228">
        <f t="shared" si="5"/>
        <v>0</v>
      </c>
      <c r="X32" s="677">
        <f t="shared" si="2"/>
        <v>0</v>
      </c>
      <c r="Y32" s="170">
        <f t="shared" si="6"/>
        <v>0</v>
      </c>
      <c r="Z32" s="677">
        <f t="shared" si="7"/>
        <v>0</v>
      </c>
      <c r="AA32" s="1299">
        <f t="shared" si="8"/>
        <v>0</v>
      </c>
    </row>
    <row r="33" spans="1:27" ht="15.75" x14ac:dyDescent="0.25">
      <c r="A33" s="1420" t="s">
        <v>1381</v>
      </c>
      <c r="B33" s="766"/>
      <c r="C33" s="1402"/>
      <c r="D33" s="1402"/>
      <c r="E33" s="1402">
        <v>192476.4</v>
      </c>
      <c r="F33" s="1402"/>
      <c r="G33" s="1300">
        <f t="shared" si="3"/>
        <v>192476.4</v>
      </c>
      <c r="H33" s="1301">
        <f t="shared" ref="H33" si="11">G33</f>
        <v>192476.4</v>
      </c>
      <c r="I33" s="1302">
        <f t="shared" ref="I33" si="12">G33</f>
        <v>192476.4</v>
      </c>
      <c r="J33" s="1303">
        <f t="shared" ref="J33" si="13">G33</f>
        <v>192476.4</v>
      </c>
      <c r="K33" s="1229"/>
      <c r="L33" s="1229"/>
      <c r="M33" s="1229"/>
      <c r="N33" s="1229"/>
      <c r="O33" s="1229"/>
      <c r="P33" s="1229"/>
      <c r="Q33" s="1228"/>
      <c r="R33" s="1229"/>
      <c r="S33" s="1229"/>
      <c r="T33" s="1229"/>
      <c r="U33" s="1229"/>
      <c r="V33" s="1229"/>
      <c r="W33" s="1228">
        <f t="shared" ref="W33" si="14">K33+L33+M33+N33+O33+P33+Q33+R33</f>
        <v>0</v>
      </c>
      <c r="X33" s="677">
        <f t="shared" si="2"/>
        <v>0</v>
      </c>
      <c r="Y33" s="170">
        <f t="shared" ref="Y33" si="15">W33+X33</f>
        <v>0</v>
      </c>
      <c r="Z33" s="677">
        <f t="shared" ref="Z33" si="16">J33-Y33</f>
        <v>192476.4</v>
      </c>
      <c r="AA33" s="1299">
        <f t="shared" ref="AA33" si="17">G33-Y33</f>
        <v>192476.4</v>
      </c>
    </row>
    <row r="34" spans="1:27" x14ac:dyDescent="0.25">
      <c r="A34" s="1422" t="s">
        <v>1003</v>
      </c>
      <c r="B34" s="1402" t="s">
        <v>1004</v>
      </c>
      <c r="C34" s="1402">
        <v>4600000</v>
      </c>
      <c r="D34" s="1402"/>
      <c r="E34" s="1402"/>
      <c r="F34" s="1402"/>
      <c r="G34" s="1300">
        <f t="shared" si="3"/>
        <v>4600000</v>
      </c>
      <c r="H34" s="1301">
        <f t="shared" si="4"/>
        <v>4600000</v>
      </c>
      <c r="I34" s="1302">
        <f t="shared" si="9"/>
        <v>4600000</v>
      </c>
      <c r="J34" s="1303">
        <f t="shared" si="10"/>
        <v>4600000</v>
      </c>
      <c r="K34" s="1229"/>
      <c r="L34" s="1228">
        <f>960460+135569.53</f>
        <v>1096029.53</v>
      </c>
      <c r="M34" s="1228"/>
      <c r="N34" s="1228"/>
      <c r="O34" s="1228">
        <f>960460+114755.18</f>
        <v>1075215.18</v>
      </c>
      <c r="P34" s="1229"/>
      <c r="Q34" s="1228"/>
      <c r="R34" s="1228">
        <f>960460+101677.13</f>
        <v>1062137.1299999999</v>
      </c>
      <c r="S34" s="1229"/>
      <c r="T34" s="1229"/>
      <c r="U34" s="1229"/>
      <c r="V34" s="1229"/>
      <c r="W34" s="1228">
        <f t="shared" si="5"/>
        <v>3233381.84</v>
      </c>
      <c r="X34" s="677">
        <f t="shared" si="2"/>
        <v>0</v>
      </c>
      <c r="Y34" s="677">
        <f t="shared" si="6"/>
        <v>3233381.84</v>
      </c>
      <c r="Z34" s="677">
        <f t="shared" ref="Z34" si="18">J34-Y34</f>
        <v>1366618.1600000001</v>
      </c>
      <c r="AA34" s="1299">
        <f t="shared" ref="AA34" si="19">G34-Y34</f>
        <v>1366618.1600000001</v>
      </c>
    </row>
    <row r="35" spans="1:27" x14ac:dyDescent="0.25">
      <c r="A35" s="1423" t="s">
        <v>304</v>
      </c>
      <c r="B35" s="1424"/>
      <c r="C35" s="614">
        <f t="shared" ref="C35:AA35" si="20">SUM(C7:C34)</f>
        <v>35200000</v>
      </c>
      <c r="D35" s="614">
        <f t="shared" ref="D35" si="21">SUM(D7:D34)</f>
        <v>-245255</v>
      </c>
      <c r="E35" s="614">
        <f t="shared" si="20"/>
        <v>392476.4</v>
      </c>
      <c r="F35" s="614">
        <f t="shared" si="20"/>
        <v>0</v>
      </c>
      <c r="G35" s="614">
        <f t="shared" si="20"/>
        <v>35347221.399999999</v>
      </c>
      <c r="H35" s="614">
        <f t="shared" si="20"/>
        <v>35147221.399999999</v>
      </c>
      <c r="I35" s="614">
        <f t="shared" si="20"/>
        <v>35147221.399999999</v>
      </c>
      <c r="J35" s="614">
        <f t="shared" si="20"/>
        <v>35147221.399999999</v>
      </c>
      <c r="K35" s="614">
        <f t="shared" si="20"/>
        <v>0</v>
      </c>
      <c r="L35" s="614">
        <f t="shared" si="20"/>
        <v>1096029.53</v>
      </c>
      <c r="M35" s="614">
        <f t="shared" si="20"/>
        <v>0</v>
      </c>
      <c r="N35" s="614">
        <f t="shared" si="20"/>
        <v>0</v>
      </c>
      <c r="O35" s="614">
        <f t="shared" si="20"/>
        <v>1075215.18</v>
      </c>
      <c r="P35" s="614">
        <f t="shared" si="20"/>
        <v>0</v>
      </c>
      <c r="Q35" s="614">
        <f t="shared" si="20"/>
        <v>14058000</v>
      </c>
      <c r="R35" s="614">
        <f t="shared" si="20"/>
        <v>1408882.13</v>
      </c>
      <c r="S35" s="614">
        <f t="shared" si="20"/>
        <v>0</v>
      </c>
      <c r="T35" s="614">
        <f t="shared" si="20"/>
        <v>3000000</v>
      </c>
      <c r="U35" s="614">
        <f t="shared" si="20"/>
        <v>0</v>
      </c>
      <c r="V35" s="614">
        <f t="shared" si="20"/>
        <v>0</v>
      </c>
      <c r="W35" s="614">
        <f t="shared" si="20"/>
        <v>17638126.84</v>
      </c>
      <c r="X35" s="614">
        <f t="shared" si="20"/>
        <v>3000000</v>
      </c>
      <c r="Y35" s="614">
        <f t="shared" si="20"/>
        <v>20638126.84</v>
      </c>
      <c r="Z35" s="614">
        <f t="shared" si="20"/>
        <v>14509094.560000001</v>
      </c>
      <c r="AA35" s="614">
        <f t="shared" si="20"/>
        <v>14509094.560000001</v>
      </c>
    </row>
    <row r="36" spans="1:27" ht="16.5" x14ac:dyDescent="0.3">
      <c r="A36" s="978" t="s">
        <v>160</v>
      </c>
      <c r="B36" s="683"/>
      <c r="C36" s="979">
        <f>C35</f>
        <v>35200000</v>
      </c>
      <c r="D36" s="614">
        <f t="shared" ref="D36" si="22">SUM(D8:D35)</f>
        <v>-490510</v>
      </c>
      <c r="E36" s="979">
        <f>E35</f>
        <v>392476.4</v>
      </c>
      <c r="F36" s="979">
        <f>F35</f>
        <v>0</v>
      </c>
      <c r="G36" s="979">
        <f t="shared" ref="G36:AA36" si="23">G35</f>
        <v>35347221.399999999</v>
      </c>
      <c r="H36" s="979">
        <f t="shared" si="23"/>
        <v>35147221.399999999</v>
      </c>
      <c r="I36" s="979">
        <f t="shared" si="23"/>
        <v>35147221.399999999</v>
      </c>
      <c r="J36" s="979">
        <f t="shared" si="23"/>
        <v>35147221.399999999</v>
      </c>
      <c r="K36" s="979">
        <f t="shared" si="23"/>
        <v>0</v>
      </c>
      <c r="L36" s="979">
        <f t="shared" si="23"/>
        <v>1096029.53</v>
      </c>
      <c r="M36" s="979">
        <f t="shared" si="23"/>
        <v>0</v>
      </c>
      <c r="N36" s="979">
        <f t="shared" si="23"/>
        <v>0</v>
      </c>
      <c r="O36" s="979">
        <f t="shared" si="23"/>
        <v>1075215.18</v>
      </c>
      <c r="P36" s="979">
        <f t="shared" si="23"/>
        <v>0</v>
      </c>
      <c r="Q36" s="1008">
        <f t="shared" si="23"/>
        <v>14058000</v>
      </c>
      <c r="R36" s="979">
        <f t="shared" si="23"/>
        <v>1408882.13</v>
      </c>
      <c r="S36" s="979">
        <f t="shared" si="23"/>
        <v>0</v>
      </c>
      <c r="T36" s="979">
        <f t="shared" si="23"/>
        <v>3000000</v>
      </c>
      <c r="U36" s="979">
        <f t="shared" si="23"/>
        <v>0</v>
      </c>
      <c r="V36" s="979">
        <f t="shared" si="23"/>
        <v>0</v>
      </c>
      <c r="W36" s="1008">
        <f t="shared" si="23"/>
        <v>17638126.84</v>
      </c>
      <c r="X36" s="1008">
        <f t="shared" si="23"/>
        <v>3000000</v>
      </c>
      <c r="Y36" s="979">
        <f t="shared" si="23"/>
        <v>20638126.84</v>
      </c>
      <c r="Z36" s="979">
        <f t="shared" si="23"/>
        <v>14509094.560000001</v>
      </c>
      <c r="AA36" s="979">
        <f t="shared" si="23"/>
        <v>14509094.560000001</v>
      </c>
    </row>
    <row r="37" spans="1:27" x14ac:dyDescent="0.25">
      <c r="A37" s="714"/>
      <c r="B37" s="1425"/>
      <c r="C37" s="35"/>
      <c r="D37" s="35"/>
      <c r="E37" s="35"/>
      <c r="F37" s="35"/>
      <c r="G37" s="35"/>
      <c r="H37" s="35"/>
      <c r="I37" s="35"/>
      <c r="J37" s="1426"/>
    </row>
    <row r="38" spans="1:27" x14ac:dyDescent="0.25">
      <c r="A38" s="714"/>
      <c r="B38" s="1425"/>
      <c r="C38" s="35"/>
      <c r="D38" s="35"/>
      <c r="E38" s="35"/>
      <c r="F38" s="35"/>
      <c r="G38" s="35"/>
      <c r="H38" s="35"/>
      <c r="I38" s="35"/>
    </row>
    <row r="39" spans="1:27" x14ac:dyDescent="0.25">
      <c r="A39" s="1090" t="s">
        <v>354</v>
      </c>
      <c r="B39" s="1363"/>
      <c r="C39" s="35"/>
      <c r="D39" s="35"/>
      <c r="E39" s="35"/>
      <c r="F39" s="35"/>
      <c r="G39" s="35"/>
      <c r="H39" s="35"/>
      <c r="I39" s="35"/>
      <c r="Z39" s="1364" t="s">
        <v>357</v>
      </c>
    </row>
    <row r="40" spans="1:27" x14ac:dyDescent="0.25">
      <c r="B40" s="1365"/>
      <c r="C40" s="36"/>
      <c r="D40" s="36"/>
      <c r="E40" s="36"/>
      <c r="F40" s="36"/>
      <c r="G40" s="36"/>
      <c r="H40" s="36"/>
      <c r="I40" s="36"/>
    </row>
    <row r="41" spans="1:27" x14ac:dyDescent="0.25">
      <c r="B41" s="1365"/>
      <c r="C41" s="36"/>
      <c r="D41" s="36"/>
      <c r="E41" s="36"/>
      <c r="F41" s="36"/>
      <c r="G41" s="36"/>
      <c r="H41" s="36"/>
      <c r="I41" s="36"/>
    </row>
    <row r="42" spans="1:27" x14ac:dyDescent="0.25">
      <c r="B42" s="1365"/>
      <c r="C42" s="36"/>
      <c r="D42" s="36"/>
      <c r="E42" s="36"/>
      <c r="F42" s="36"/>
      <c r="G42" s="36"/>
      <c r="H42" s="36"/>
      <c r="I42" s="36"/>
    </row>
    <row r="43" spans="1:27" x14ac:dyDescent="0.25">
      <c r="A43" s="1366" t="s">
        <v>355</v>
      </c>
      <c r="B43" s="1367"/>
      <c r="C43" s="36"/>
      <c r="D43" s="36"/>
      <c r="E43" s="36"/>
      <c r="F43" s="36"/>
      <c r="G43" s="36"/>
      <c r="H43" s="36"/>
      <c r="I43" s="36"/>
      <c r="Z43" s="1368" t="s">
        <v>358</v>
      </c>
    </row>
    <row r="44" spans="1:27" x14ac:dyDescent="0.25">
      <c r="A44" s="1364" t="s">
        <v>356</v>
      </c>
      <c r="Z44" s="1364" t="s">
        <v>359</v>
      </c>
    </row>
  </sheetData>
  <mergeCells count="3">
    <mergeCell ref="A3:AA3"/>
    <mergeCell ref="A2:AA2"/>
    <mergeCell ref="A1:AA1"/>
  </mergeCells>
  <printOptions horizontalCentered="1" verticalCentered="1"/>
  <pageMargins left="0.52559055099999996" right="0" top="0.39370078740157499" bottom="0.24803149599999999" header="0.39370078740157499" footer="0.31496062992126"/>
  <pageSetup paperSize="5" scale="6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view="pageBreakPreview" zoomScaleNormal="100" zoomScaleSheetLayoutView="100" workbookViewId="0">
      <pane xSplit="3" ySplit="9" topLeftCell="W19" activePane="bottomRight" state="frozen"/>
      <selection pane="topRight" activeCell="D1" sqref="D1"/>
      <selection pane="bottomLeft" activeCell="A10" sqref="A10"/>
      <selection pane="bottomRight" activeCell="W14" sqref="W14"/>
    </sheetView>
  </sheetViews>
  <sheetFormatPr defaultRowHeight="15" outlineLevelCol="1" x14ac:dyDescent="0.25"/>
  <cols>
    <col min="1" max="1" width="10.42578125" style="951" customWidth="1"/>
    <col min="2" max="2" width="42.85546875" style="951" customWidth="1"/>
    <col min="3" max="3" width="11.28515625" style="951" customWidth="1"/>
    <col min="4" max="4" width="13.140625" style="951" customWidth="1"/>
    <col min="5" max="5" width="14" style="951" customWidth="1"/>
    <col min="6" max="6" width="13.28515625" style="951" customWidth="1"/>
    <col min="7" max="7" width="12.7109375" style="951" customWidth="1"/>
    <col min="8" max="9" width="12.7109375" style="708" hidden="1" customWidth="1"/>
    <col min="10" max="11" width="12.7109375" style="708" hidden="1" customWidth="1" outlineLevel="1"/>
    <col min="12" max="12" width="12.7109375" style="1060" hidden="1" customWidth="1" outlineLevel="1"/>
    <col min="13" max="13" width="12.7109375" style="708" hidden="1" customWidth="1" outlineLevel="1"/>
    <col min="14" max="14" width="14.85546875" style="708" hidden="1" customWidth="1" outlineLevel="1"/>
    <col min="15" max="19" width="12.7109375" style="708" hidden="1" customWidth="1" outlineLevel="1"/>
    <col min="20" max="20" width="13.28515625" style="708" customWidth="1" collapsed="1"/>
    <col min="21" max="21" width="12.7109375" style="1061" customWidth="1"/>
    <col min="22" max="22" width="13.42578125" style="1060" customWidth="1"/>
    <col min="23" max="23" width="14" style="951" customWidth="1"/>
    <col min="24" max="24" width="14" style="382" customWidth="1"/>
    <col min="25" max="25" width="9.140625" style="951"/>
    <col min="26" max="26" width="10.5703125" style="951" bestFit="1" customWidth="1"/>
    <col min="27" max="16384" width="9.140625" style="951"/>
  </cols>
  <sheetData>
    <row r="1" spans="1:24" x14ac:dyDescent="0.25">
      <c r="A1" s="1449"/>
      <c r="B1" s="1449"/>
      <c r="C1" s="1449"/>
      <c r="D1" s="1449"/>
      <c r="E1" s="1449"/>
      <c r="F1" s="1449"/>
      <c r="G1" s="1449"/>
      <c r="H1" s="1449"/>
      <c r="I1" s="1449"/>
      <c r="J1" s="1449"/>
      <c r="K1" s="1449"/>
      <c r="L1" s="1449"/>
      <c r="M1" s="1449"/>
      <c r="N1" s="1449"/>
      <c r="O1" s="1449"/>
      <c r="P1" s="1449"/>
      <c r="Q1" s="1449"/>
      <c r="R1" s="1449"/>
      <c r="S1" s="1449"/>
      <c r="T1" s="1449"/>
      <c r="U1" s="1449"/>
      <c r="V1" s="1449"/>
      <c r="W1" s="1449"/>
      <c r="X1" s="1449"/>
    </row>
    <row r="2" spans="1:24" x14ac:dyDescent="0.25">
      <c r="A2" s="1449"/>
      <c r="B2" s="1449"/>
      <c r="C2" s="1449"/>
      <c r="D2" s="1449"/>
      <c r="E2" s="1449"/>
      <c r="F2" s="1449"/>
      <c r="G2" s="1449"/>
      <c r="H2" s="1449"/>
      <c r="I2" s="1449"/>
      <c r="J2" s="1449"/>
      <c r="K2" s="1449"/>
      <c r="L2" s="1449"/>
      <c r="M2" s="1449"/>
      <c r="N2" s="1449"/>
      <c r="O2" s="1449"/>
      <c r="P2" s="1449"/>
      <c r="Q2" s="1449"/>
      <c r="R2" s="1449"/>
      <c r="S2" s="1449"/>
      <c r="T2" s="1449"/>
      <c r="U2" s="1449"/>
      <c r="V2" s="1449"/>
      <c r="W2" s="1449"/>
      <c r="X2" s="1449"/>
    </row>
    <row r="3" spans="1:24" x14ac:dyDescent="0.25">
      <c r="A3" s="1449"/>
      <c r="B3" s="1449"/>
      <c r="C3" s="1449"/>
      <c r="D3" s="1449"/>
      <c r="E3" s="1449"/>
      <c r="F3" s="1449"/>
      <c r="G3" s="1449"/>
      <c r="H3" s="1449"/>
      <c r="I3" s="1449"/>
      <c r="J3" s="1449"/>
      <c r="K3" s="1449"/>
      <c r="L3" s="1449"/>
      <c r="M3" s="1449"/>
      <c r="N3" s="1449"/>
      <c r="O3" s="1449"/>
      <c r="P3" s="1449"/>
      <c r="Q3" s="1449"/>
      <c r="R3" s="1449"/>
      <c r="S3" s="1449"/>
      <c r="T3" s="1449"/>
      <c r="U3" s="1449"/>
      <c r="V3" s="1449"/>
      <c r="W3" s="1449"/>
      <c r="X3" s="1449"/>
    </row>
    <row r="4" spans="1:24" x14ac:dyDescent="0.25">
      <c r="A4" s="1432" t="s">
        <v>352</v>
      </c>
      <c r="B4" s="1432"/>
      <c r="C4" s="1432"/>
      <c r="D4" s="1432"/>
      <c r="E4" s="1432"/>
      <c r="F4" s="1432"/>
      <c r="G4" s="1432"/>
      <c r="H4" s="1432"/>
      <c r="I4" s="1432"/>
      <c r="J4" s="1432"/>
      <c r="K4" s="1432"/>
      <c r="L4" s="1432"/>
      <c r="M4" s="1432"/>
      <c r="N4" s="1432"/>
      <c r="O4" s="1432"/>
      <c r="P4" s="1432"/>
      <c r="Q4" s="1432"/>
      <c r="R4" s="1432"/>
      <c r="S4" s="1432"/>
      <c r="T4" s="1432"/>
      <c r="U4" s="1432"/>
      <c r="V4" s="1432"/>
      <c r="W4" s="1432"/>
      <c r="X4" s="1432"/>
    </row>
    <row r="5" spans="1:24" x14ac:dyDescent="0.25">
      <c r="A5" s="1432" t="s">
        <v>1216</v>
      </c>
      <c r="B5" s="1432"/>
      <c r="C5" s="1432"/>
      <c r="D5" s="1432"/>
      <c r="E5" s="1432"/>
      <c r="F5" s="1432"/>
      <c r="G5" s="1432"/>
      <c r="H5" s="1432"/>
      <c r="I5" s="1432"/>
      <c r="J5" s="1432"/>
      <c r="K5" s="1432"/>
      <c r="L5" s="1432"/>
      <c r="M5" s="1432"/>
      <c r="N5" s="1432"/>
      <c r="O5" s="1432"/>
      <c r="P5" s="1432"/>
      <c r="Q5" s="1432"/>
      <c r="R5" s="1432"/>
      <c r="S5" s="1432"/>
      <c r="T5" s="1432"/>
      <c r="U5" s="1432"/>
      <c r="V5" s="1432"/>
      <c r="W5" s="1432"/>
      <c r="X5" s="1432"/>
    </row>
    <row r="6" spans="1:24" x14ac:dyDescent="0.25">
      <c r="A6" s="1434" t="str">
        <f>'CY 9911'!A3:AA3</f>
        <v>For the Period October 1-31, 2021</v>
      </c>
      <c r="B6" s="1434"/>
      <c r="C6" s="1434"/>
      <c r="D6" s="1434"/>
      <c r="E6" s="1434"/>
      <c r="F6" s="1434"/>
      <c r="G6" s="1434"/>
      <c r="H6" s="1434"/>
      <c r="I6" s="1434"/>
      <c r="J6" s="1434"/>
      <c r="K6" s="1434"/>
      <c r="L6" s="1434"/>
      <c r="M6" s="1434"/>
      <c r="N6" s="1434"/>
      <c r="O6" s="1434"/>
      <c r="P6" s="1434"/>
      <c r="Q6" s="1434"/>
      <c r="R6" s="1434"/>
      <c r="S6" s="1434"/>
      <c r="T6" s="1434"/>
      <c r="U6" s="1434"/>
      <c r="V6" s="1434"/>
      <c r="W6" s="1434"/>
      <c r="X6" s="1434"/>
    </row>
    <row r="7" spans="1:24" x14ac:dyDescent="0.25">
      <c r="A7" s="1449"/>
      <c r="B7" s="1449"/>
      <c r="C7" s="1449"/>
      <c r="D7" s="1449"/>
      <c r="E7" s="1449"/>
      <c r="F7" s="1449"/>
      <c r="G7" s="1449"/>
      <c r="H7" s="1449"/>
      <c r="I7" s="1449"/>
      <c r="J7" s="1449"/>
      <c r="K7" s="1449"/>
      <c r="L7" s="1449"/>
      <c r="M7" s="1449"/>
      <c r="N7" s="1449"/>
      <c r="O7" s="1449"/>
      <c r="P7" s="1449"/>
      <c r="Q7" s="1449"/>
      <c r="R7" s="1449"/>
      <c r="S7" s="1449"/>
      <c r="T7" s="1449"/>
      <c r="U7" s="1449"/>
      <c r="V7" s="1449"/>
      <c r="W7" s="1449"/>
      <c r="X7" s="1449"/>
    </row>
    <row r="8" spans="1:24" ht="26.25" x14ac:dyDescent="0.25">
      <c r="A8" s="958" t="s">
        <v>1187</v>
      </c>
      <c r="B8" s="71" t="s">
        <v>347</v>
      </c>
      <c r="C8" s="958" t="s">
        <v>2</v>
      </c>
      <c r="D8" s="958" t="s">
        <v>1201</v>
      </c>
      <c r="E8" s="1138" t="s">
        <v>1311</v>
      </c>
      <c r="F8" s="71" t="s">
        <v>1</v>
      </c>
      <c r="G8" s="71" t="s">
        <v>316</v>
      </c>
      <c r="H8" s="262"/>
      <c r="I8" s="262"/>
      <c r="J8" s="262"/>
      <c r="K8" s="262"/>
      <c r="L8" s="1030"/>
      <c r="M8" s="1030"/>
      <c r="N8" s="1030"/>
      <c r="O8" s="1030"/>
      <c r="P8" s="1030"/>
      <c r="Q8" s="1030"/>
      <c r="R8" s="1030"/>
      <c r="S8" s="1031"/>
      <c r="T8" s="74" t="s">
        <v>316</v>
      </c>
      <c r="U8" s="1032" t="s">
        <v>348</v>
      </c>
      <c r="V8" s="74" t="s">
        <v>1</v>
      </c>
      <c r="W8" s="74" t="s">
        <v>131</v>
      </c>
      <c r="X8" s="1032" t="s">
        <v>131</v>
      </c>
    </row>
    <row r="9" spans="1:24" ht="15.75" thickBot="1" x14ac:dyDescent="0.3">
      <c r="A9" s="25" t="s">
        <v>1188</v>
      </c>
      <c r="B9" s="25"/>
      <c r="C9" s="25" t="s">
        <v>3</v>
      </c>
      <c r="D9" s="25"/>
      <c r="E9" s="1139">
        <v>44305</v>
      </c>
      <c r="F9" s="729" t="s">
        <v>314</v>
      </c>
      <c r="G9" s="729" t="s">
        <v>314</v>
      </c>
      <c r="H9" s="27" t="s">
        <v>0</v>
      </c>
      <c r="I9" s="27" t="s">
        <v>120</v>
      </c>
      <c r="J9" s="27" t="s">
        <v>0</v>
      </c>
      <c r="K9" s="27" t="s">
        <v>120</v>
      </c>
      <c r="L9" s="27" t="s">
        <v>121</v>
      </c>
      <c r="M9" s="27" t="s">
        <v>122</v>
      </c>
      <c r="N9" s="27" t="s">
        <v>123</v>
      </c>
      <c r="O9" s="27" t="s">
        <v>124</v>
      </c>
      <c r="P9" s="27" t="s">
        <v>125</v>
      </c>
      <c r="Q9" s="27" t="s">
        <v>126</v>
      </c>
      <c r="R9" s="27" t="s">
        <v>127</v>
      </c>
      <c r="S9" s="27" t="s">
        <v>128</v>
      </c>
      <c r="T9" s="723" t="s">
        <v>317</v>
      </c>
      <c r="U9" s="752" t="s">
        <v>315</v>
      </c>
      <c r="V9" s="723" t="s">
        <v>317</v>
      </c>
      <c r="W9" s="723" t="s">
        <v>314</v>
      </c>
      <c r="X9" s="752" t="s">
        <v>132</v>
      </c>
    </row>
    <row r="10" spans="1:24" ht="15.75" thickTop="1" x14ac:dyDescent="0.25">
      <c r="A10" s="444"/>
      <c r="B10" s="444" t="s">
        <v>1189</v>
      </c>
      <c r="C10" s="175"/>
      <c r="D10" s="175"/>
      <c r="E10" s="175"/>
      <c r="F10" s="175"/>
      <c r="G10" s="175"/>
      <c r="H10" s="267"/>
      <c r="I10" s="267"/>
      <c r="J10" s="267"/>
      <c r="K10" s="267"/>
      <c r="L10" s="1033"/>
      <c r="M10" s="267"/>
      <c r="N10" s="267"/>
      <c r="O10" s="267"/>
      <c r="P10" s="267"/>
      <c r="Q10" s="267"/>
      <c r="R10" s="267"/>
      <c r="S10" s="267"/>
      <c r="T10" s="267"/>
      <c r="U10" s="1034"/>
      <c r="V10" s="1033"/>
      <c r="W10" s="175"/>
      <c r="X10" s="1035"/>
    </row>
    <row r="11" spans="1:24" ht="16.5" x14ac:dyDescent="0.3">
      <c r="A11" s="916"/>
      <c r="B11" s="916" t="s">
        <v>1190</v>
      </c>
      <c r="C11" s="185"/>
      <c r="D11" s="1036"/>
      <c r="E11" s="1036"/>
      <c r="F11" s="1036"/>
      <c r="G11" s="1036"/>
      <c r="H11" s="1037"/>
      <c r="I11" s="1037"/>
      <c r="J11" s="1037"/>
      <c r="K11" s="1037"/>
      <c r="L11" s="718"/>
      <c r="M11" s="1037"/>
      <c r="N11" s="1037"/>
      <c r="O11" s="1037"/>
      <c r="P11" s="1037"/>
      <c r="Q11" s="1037"/>
      <c r="R11" s="1037"/>
      <c r="S11" s="1037"/>
      <c r="T11" s="1037"/>
      <c r="U11" s="381"/>
      <c r="V11" s="718"/>
      <c r="W11" s="1036"/>
      <c r="X11" s="379"/>
    </row>
    <row r="12" spans="1:24" ht="27" x14ac:dyDescent="0.3">
      <c r="A12" s="1038" t="s">
        <v>1191</v>
      </c>
      <c r="B12" s="1039" t="s">
        <v>1009</v>
      </c>
      <c r="C12" s="735"/>
      <c r="D12" s="1040"/>
      <c r="E12" s="1040"/>
      <c r="F12" s="1040"/>
      <c r="G12" s="1040"/>
      <c r="H12" s="1037"/>
      <c r="I12" s="1037"/>
      <c r="J12" s="1037"/>
      <c r="K12" s="718"/>
      <c r="L12" s="718"/>
      <c r="M12" s="718"/>
      <c r="N12" s="718"/>
      <c r="O12" s="718"/>
      <c r="P12" s="718"/>
      <c r="Q12" s="718"/>
      <c r="R12" s="718"/>
      <c r="S12" s="718"/>
      <c r="T12" s="718"/>
      <c r="U12" s="381"/>
      <c r="V12" s="718"/>
      <c r="W12" s="718"/>
      <c r="X12" s="1041"/>
    </row>
    <row r="13" spans="1:24" ht="16.5" x14ac:dyDescent="0.3">
      <c r="A13" s="235"/>
      <c r="B13" s="235" t="s">
        <v>1192</v>
      </c>
      <c r="C13" s="735" t="s">
        <v>56</v>
      </c>
      <c r="D13" s="1040">
        <f>59558.44</f>
        <v>59558.44</v>
      </c>
      <c r="E13" s="1040">
        <f>-59558.44</f>
        <v>-59558.44</v>
      </c>
      <c r="F13" s="1040">
        <f>D13+E13</f>
        <v>0</v>
      </c>
      <c r="G13" s="1040"/>
      <c r="H13" s="1037"/>
      <c r="I13" s="1037"/>
      <c r="J13" s="1037"/>
      <c r="K13" s="718"/>
      <c r="L13" s="718"/>
      <c r="M13" s="718"/>
      <c r="N13" s="718"/>
      <c r="O13" s="718"/>
      <c r="Q13" s="718"/>
      <c r="R13" s="718"/>
      <c r="S13" s="718"/>
      <c r="T13" s="718">
        <f>H13+I13+J13+K13+L13+M13+N13+O13</f>
        <v>0</v>
      </c>
      <c r="U13" s="381">
        <f>P13</f>
        <v>0</v>
      </c>
      <c r="V13" s="718">
        <f>T13+U13</f>
        <v>0</v>
      </c>
      <c r="W13" s="718">
        <f>F13-V13</f>
        <v>0</v>
      </c>
      <c r="X13" s="1041">
        <f>F13-V13</f>
        <v>0</v>
      </c>
    </row>
    <row r="14" spans="1:24" ht="16.5" x14ac:dyDescent="0.3">
      <c r="A14" s="690"/>
      <c r="B14" s="1042"/>
      <c r="C14" s="735"/>
      <c r="D14" s="1043"/>
      <c r="E14" s="1043"/>
      <c r="F14" s="1040"/>
      <c r="G14" s="1040"/>
      <c r="H14" s="1037"/>
      <c r="I14" s="1037"/>
      <c r="J14" s="1037"/>
      <c r="K14" s="718"/>
      <c r="L14" s="718"/>
      <c r="M14" s="718"/>
      <c r="N14" s="718"/>
      <c r="O14" s="718"/>
      <c r="P14" s="718"/>
      <c r="Q14" s="718"/>
      <c r="R14" s="718"/>
      <c r="S14" s="718"/>
      <c r="T14" s="718">
        <f>H14+I14+J14+K14+L14+M14+N14+O14</f>
        <v>0</v>
      </c>
      <c r="U14" s="381">
        <f>P14</f>
        <v>0</v>
      </c>
      <c r="V14" s="718">
        <f>T14+U14</f>
        <v>0</v>
      </c>
      <c r="W14" s="718">
        <f>F14-V14</f>
        <v>0</v>
      </c>
      <c r="X14" s="1041">
        <f>F14-V14</f>
        <v>0</v>
      </c>
    </row>
    <row r="15" spans="1:24" s="715" customFormat="1" x14ac:dyDescent="0.25">
      <c r="A15" s="187" t="s">
        <v>1193</v>
      </c>
      <c r="B15" s="1039"/>
      <c r="C15" s="1044"/>
      <c r="D15" s="1045">
        <f t="shared" ref="D15:X15" si="0">SUM(D13:D14)</f>
        <v>59558.44</v>
      </c>
      <c r="E15" s="1045">
        <f t="shared" si="0"/>
        <v>-59558.44</v>
      </c>
      <c r="F15" s="1045">
        <f t="shared" si="0"/>
        <v>0</v>
      </c>
      <c r="G15" s="1045">
        <f t="shared" si="0"/>
        <v>0</v>
      </c>
      <c r="H15" s="1045">
        <f t="shared" si="0"/>
        <v>0</v>
      </c>
      <c r="I15" s="1045">
        <f t="shared" si="0"/>
        <v>0</v>
      </c>
      <c r="J15" s="1045">
        <f t="shared" si="0"/>
        <v>0</v>
      </c>
      <c r="K15" s="1045">
        <f t="shared" si="0"/>
        <v>0</v>
      </c>
      <c r="L15" s="1045">
        <f t="shared" si="0"/>
        <v>0</v>
      </c>
      <c r="M15" s="1045">
        <f t="shared" si="0"/>
        <v>0</v>
      </c>
      <c r="N15" s="1045">
        <f t="shared" si="0"/>
        <v>0</v>
      </c>
      <c r="O15" s="1045">
        <f t="shared" si="0"/>
        <v>0</v>
      </c>
      <c r="P15" s="1045">
        <f t="shared" si="0"/>
        <v>0</v>
      </c>
      <c r="Q15" s="1045">
        <f t="shared" si="0"/>
        <v>0</v>
      </c>
      <c r="R15" s="1045">
        <f t="shared" si="0"/>
        <v>0</v>
      </c>
      <c r="S15" s="1045">
        <f t="shared" si="0"/>
        <v>0</v>
      </c>
      <c r="T15" s="1045">
        <f t="shared" si="0"/>
        <v>0</v>
      </c>
      <c r="U15" s="1046">
        <f t="shared" si="0"/>
        <v>0</v>
      </c>
      <c r="V15" s="1045">
        <f t="shared" si="0"/>
        <v>0</v>
      </c>
      <c r="W15" s="1045">
        <f t="shared" si="0"/>
        <v>0</v>
      </c>
      <c r="X15" s="1046">
        <f t="shared" si="0"/>
        <v>0</v>
      </c>
    </row>
    <row r="16" spans="1:24" ht="27" x14ac:dyDescent="0.3">
      <c r="A16" s="1038" t="s">
        <v>1194</v>
      </c>
      <c r="B16" s="235"/>
      <c r="C16" s="735"/>
      <c r="D16" s="1040"/>
      <c r="E16" s="1040"/>
      <c r="F16" s="1040"/>
      <c r="G16" s="1040"/>
      <c r="H16" s="1037"/>
      <c r="I16" s="1037"/>
      <c r="J16" s="1037"/>
      <c r="K16" s="1037"/>
      <c r="L16" s="718"/>
      <c r="M16" s="1037"/>
      <c r="N16" s="1037"/>
      <c r="O16" s="1037"/>
      <c r="P16" s="1037"/>
      <c r="Q16" s="1037"/>
      <c r="R16" s="1037"/>
      <c r="S16" s="1037"/>
      <c r="T16" s="1037"/>
      <c r="U16" s="381"/>
      <c r="V16" s="718"/>
      <c r="W16" s="718"/>
      <c r="X16" s="1041"/>
    </row>
    <row r="17" spans="1:24" ht="16.5" x14ac:dyDescent="0.3">
      <c r="A17" s="235"/>
      <c r="B17" s="1039" t="s">
        <v>1009</v>
      </c>
      <c r="C17" s="735"/>
      <c r="D17" s="1040"/>
      <c r="E17" s="1040"/>
      <c r="F17" s="1040"/>
      <c r="G17" s="1040"/>
      <c r="H17" s="1037"/>
      <c r="I17" s="1037"/>
      <c r="J17" s="1037"/>
      <c r="K17" s="718"/>
      <c r="L17" s="718"/>
      <c r="M17" s="718"/>
      <c r="N17" s="718"/>
      <c r="O17" s="718"/>
      <c r="P17" s="718"/>
      <c r="Q17" s="718"/>
      <c r="R17" s="718"/>
      <c r="S17" s="718"/>
      <c r="T17" s="718">
        <f>H17+I17+J17+K17+L17+M17+N17+O17+P17</f>
        <v>0</v>
      </c>
      <c r="U17" s="381">
        <f>Q17</f>
        <v>0</v>
      </c>
      <c r="V17" s="718"/>
      <c r="W17" s="718"/>
      <c r="X17" s="1041">
        <f t="shared" ref="X17:X22" si="1">F17-V17</f>
        <v>0</v>
      </c>
    </row>
    <row r="18" spans="1:24" ht="16.5" x14ac:dyDescent="0.3">
      <c r="A18" s="235"/>
      <c r="B18" s="235" t="s">
        <v>1195</v>
      </c>
      <c r="C18" s="735" t="s">
        <v>1196</v>
      </c>
      <c r="D18" s="1040">
        <f>540</f>
        <v>540</v>
      </c>
      <c r="E18" s="1040"/>
      <c r="F18" s="1040">
        <f t="shared" ref="F18:F22" si="2">D18+E18</f>
        <v>540</v>
      </c>
      <c r="G18" s="1040"/>
      <c r="H18" s="1037"/>
      <c r="I18" s="1037"/>
      <c r="J18" s="1037"/>
      <c r="K18" s="718"/>
      <c r="L18" s="718"/>
      <c r="M18" s="718"/>
      <c r="N18" s="1047"/>
      <c r="O18" s="718"/>
      <c r="P18" s="1048"/>
      <c r="Q18" s="718"/>
      <c r="R18" s="718"/>
      <c r="S18" s="718"/>
      <c r="T18" s="718">
        <f t="shared" ref="T18:T22" si="3">H18+I18+J18+K18+L18+M18+N18+O18+P18</f>
        <v>0</v>
      </c>
      <c r="U18" s="381">
        <f t="shared" ref="U18:U22" si="4">Q18</f>
        <v>0</v>
      </c>
      <c r="V18" s="718">
        <f t="shared" ref="V18:V22" si="5">T18+U18</f>
        <v>0</v>
      </c>
      <c r="W18" s="718">
        <f>F18-V18</f>
        <v>540</v>
      </c>
      <c r="X18" s="1041">
        <f t="shared" si="1"/>
        <v>540</v>
      </c>
    </row>
    <row r="19" spans="1:24" ht="27" x14ac:dyDescent="0.3">
      <c r="A19" s="235"/>
      <c r="B19" s="499" t="s">
        <v>1310</v>
      </c>
      <c r="C19" s="735" t="s">
        <v>1196</v>
      </c>
      <c r="D19" s="1040"/>
      <c r="E19" s="1040">
        <f>826183.44</f>
        <v>826183.44</v>
      </c>
      <c r="F19" s="1040">
        <f t="shared" si="2"/>
        <v>826183.44</v>
      </c>
      <c r="G19" s="1040"/>
      <c r="H19" s="1037"/>
      <c r="I19" s="1037"/>
      <c r="J19" s="1037"/>
      <c r="K19" s="718"/>
      <c r="L19" s="718"/>
      <c r="M19" s="718"/>
      <c r="N19" s="1047"/>
      <c r="O19" s="718"/>
      <c r="P19" s="1048"/>
      <c r="Q19" s="718"/>
      <c r="R19" s="718"/>
      <c r="S19" s="1047"/>
      <c r="T19" s="718">
        <f t="shared" si="3"/>
        <v>0</v>
      </c>
      <c r="U19" s="381">
        <f>810370</f>
        <v>810370</v>
      </c>
      <c r="V19" s="718">
        <f t="shared" ref="V19" si="6">T19+U19</f>
        <v>810370</v>
      </c>
      <c r="W19" s="718">
        <f>F19-V19</f>
        <v>15813.439999999944</v>
      </c>
      <c r="X19" s="1041">
        <f t="shared" si="1"/>
        <v>15813.439999999944</v>
      </c>
    </row>
    <row r="20" spans="1:24" ht="16.5" x14ac:dyDescent="0.3">
      <c r="A20" s="235"/>
      <c r="B20" s="235" t="s">
        <v>915</v>
      </c>
      <c r="C20" s="735" t="s">
        <v>1196</v>
      </c>
      <c r="D20" s="1040">
        <f>27075</f>
        <v>27075</v>
      </c>
      <c r="E20" s="1040">
        <f>-27075</f>
        <v>-27075</v>
      </c>
      <c r="F20" s="1040">
        <f t="shared" si="2"/>
        <v>0</v>
      </c>
      <c r="G20" s="1040"/>
      <c r="H20" s="1037"/>
      <c r="I20" s="1037"/>
      <c r="J20" s="1037"/>
      <c r="K20" s="718"/>
      <c r="L20" s="718"/>
      <c r="M20" s="718"/>
      <c r="N20" s="1047"/>
      <c r="O20" s="718"/>
      <c r="P20" s="1048"/>
      <c r="Q20" s="718"/>
      <c r="R20" s="718"/>
      <c r="S20" s="1049"/>
      <c r="T20" s="718">
        <f t="shared" si="3"/>
        <v>0</v>
      </c>
      <c r="U20" s="381">
        <f t="shared" si="4"/>
        <v>0</v>
      </c>
      <c r="V20" s="718">
        <f t="shared" si="5"/>
        <v>0</v>
      </c>
      <c r="W20" s="718">
        <f>F20-V20</f>
        <v>0</v>
      </c>
      <c r="X20" s="1041">
        <f t="shared" si="1"/>
        <v>0</v>
      </c>
    </row>
    <row r="21" spans="1:24" ht="27" x14ac:dyDescent="0.3">
      <c r="A21" s="690"/>
      <c r="B21" s="1050" t="s">
        <v>1197</v>
      </c>
      <c r="C21" s="735"/>
      <c r="D21" s="1043">
        <f>110000</f>
        <v>110000</v>
      </c>
      <c r="E21" s="1043">
        <f>-110000</f>
        <v>-110000</v>
      </c>
      <c r="F21" s="1040">
        <f t="shared" si="2"/>
        <v>0</v>
      </c>
      <c r="G21" s="1040"/>
      <c r="H21" s="1037"/>
      <c r="I21" s="1037"/>
      <c r="J21" s="1037"/>
      <c r="K21" s="718"/>
      <c r="L21" s="718"/>
      <c r="M21" s="718"/>
      <c r="N21" s="718"/>
      <c r="O21" s="718"/>
      <c r="P21" s="718"/>
      <c r="Q21" s="718"/>
      <c r="R21" s="718"/>
      <c r="S21" s="718"/>
      <c r="T21" s="718">
        <f t="shared" si="3"/>
        <v>0</v>
      </c>
      <c r="U21" s="381">
        <f t="shared" si="4"/>
        <v>0</v>
      </c>
      <c r="V21" s="718">
        <f t="shared" si="5"/>
        <v>0</v>
      </c>
      <c r="W21" s="718">
        <f>F21-V21</f>
        <v>0</v>
      </c>
      <c r="X21" s="1041">
        <f t="shared" si="1"/>
        <v>0</v>
      </c>
    </row>
    <row r="22" spans="1:24" ht="16.5" x14ac:dyDescent="0.3">
      <c r="A22" s="690"/>
      <c r="B22" s="1050" t="s">
        <v>1198</v>
      </c>
      <c r="C22" s="735"/>
      <c r="D22" s="1043">
        <f>116381</f>
        <v>116381</v>
      </c>
      <c r="E22" s="1043">
        <f>-116381</f>
        <v>-116381</v>
      </c>
      <c r="F22" s="1040">
        <f t="shared" si="2"/>
        <v>0</v>
      </c>
      <c r="G22" s="1040"/>
      <c r="H22" s="1037"/>
      <c r="I22" s="1037"/>
      <c r="J22" s="1037"/>
      <c r="K22" s="718"/>
      <c r="L22" s="718"/>
      <c r="M22" s="718"/>
      <c r="N22" s="718"/>
      <c r="O22" s="718"/>
      <c r="P22" s="718"/>
      <c r="Q22" s="718"/>
      <c r="R22" s="718"/>
      <c r="S22" s="718"/>
      <c r="T22" s="718">
        <f t="shared" si="3"/>
        <v>0</v>
      </c>
      <c r="U22" s="381">
        <f t="shared" si="4"/>
        <v>0</v>
      </c>
      <c r="V22" s="718">
        <f t="shared" si="5"/>
        <v>0</v>
      </c>
      <c r="W22" s="718">
        <f>F22-V22</f>
        <v>0</v>
      </c>
      <c r="X22" s="1041">
        <f t="shared" si="1"/>
        <v>0</v>
      </c>
    </row>
    <row r="23" spans="1:24" s="715" customFormat="1" x14ac:dyDescent="0.25">
      <c r="A23" s="187" t="s">
        <v>1193</v>
      </c>
      <c r="B23" s="1051"/>
      <c r="C23" s="1044"/>
      <c r="D23" s="1045">
        <f t="shared" ref="D23:X23" si="7">SUM(D18:D22)</f>
        <v>253996</v>
      </c>
      <c r="E23" s="1045">
        <f t="shared" si="7"/>
        <v>572727.43999999994</v>
      </c>
      <c r="F23" s="1045">
        <f t="shared" si="7"/>
        <v>826723.44</v>
      </c>
      <c r="G23" s="1045">
        <f t="shared" si="7"/>
        <v>0</v>
      </c>
      <c r="H23" s="1045">
        <f t="shared" si="7"/>
        <v>0</v>
      </c>
      <c r="I23" s="1045">
        <f t="shared" si="7"/>
        <v>0</v>
      </c>
      <c r="J23" s="1045">
        <f t="shared" si="7"/>
        <v>0</v>
      </c>
      <c r="K23" s="1045">
        <f t="shared" si="7"/>
        <v>0</v>
      </c>
      <c r="L23" s="1045">
        <f t="shared" si="7"/>
        <v>0</v>
      </c>
      <c r="M23" s="1045">
        <f t="shared" si="7"/>
        <v>0</v>
      </c>
      <c r="N23" s="1045">
        <f t="shared" si="7"/>
        <v>0</v>
      </c>
      <c r="O23" s="1045">
        <f t="shared" si="7"/>
        <v>0</v>
      </c>
      <c r="P23" s="1045">
        <f t="shared" si="7"/>
        <v>0</v>
      </c>
      <c r="Q23" s="1045">
        <f t="shared" si="7"/>
        <v>0</v>
      </c>
      <c r="R23" s="1045">
        <f t="shared" si="7"/>
        <v>0</v>
      </c>
      <c r="S23" s="1045">
        <f t="shared" si="7"/>
        <v>0</v>
      </c>
      <c r="T23" s="1045">
        <f t="shared" si="7"/>
        <v>0</v>
      </c>
      <c r="U23" s="1046">
        <f t="shared" si="7"/>
        <v>810370</v>
      </c>
      <c r="V23" s="1045">
        <f t="shared" si="7"/>
        <v>810370</v>
      </c>
      <c r="W23" s="1045">
        <f t="shared" si="7"/>
        <v>16353.439999999944</v>
      </c>
      <c r="X23" s="1046">
        <f t="shared" si="7"/>
        <v>16353.439999999944</v>
      </c>
    </row>
    <row r="24" spans="1:24" s="715" customFormat="1" ht="27" x14ac:dyDescent="0.3">
      <c r="A24" s="1038" t="s">
        <v>1199</v>
      </c>
      <c r="B24" s="1039" t="s">
        <v>1009</v>
      </c>
      <c r="C24" s="1044"/>
      <c r="D24" s="1045"/>
      <c r="E24" s="1045"/>
      <c r="F24" s="1045"/>
      <c r="G24" s="1045"/>
      <c r="H24" s="1053"/>
      <c r="I24" s="1053"/>
      <c r="J24" s="1053"/>
      <c r="K24" s="1053"/>
      <c r="L24" s="725"/>
      <c r="M24" s="1053"/>
      <c r="N24" s="1053"/>
      <c r="O24" s="1053"/>
      <c r="P24" s="1053"/>
      <c r="Q24" s="1053"/>
      <c r="R24" s="1053"/>
      <c r="S24" s="1053"/>
      <c r="T24" s="1053"/>
      <c r="U24" s="1054"/>
      <c r="V24" s="725"/>
      <c r="W24" s="718">
        <f>F24-V24</f>
        <v>0</v>
      </c>
      <c r="X24" s="1055"/>
    </row>
    <row r="25" spans="1:24" s="715" customFormat="1" ht="16.5" x14ac:dyDescent="0.3">
      <c r="A25" s="1039"/>
      <c r="B25" s="1056" t="s">
        <v>1200</v>
      </c>
      <c r="C25" s="735" t="s">
        <v>843</v>
      </c>
      <c r="D25" s="1040">
        <f>1013169</f>
        <v>1013169</v>
      </c>
      <c r="E25" s="1040">
        <f>-513169</f>
        <v>-513169</v>
      </c>
      <c r="F25" s="1040">
        <f t="shared" ref="F25" si="8">D25+E25</f>
        <v>500000</v>
      </c>
      <c r="G25" s="1045"/>
      <c r="H25" s="1053"/>
      <c r="I25" s="1053"/>
      <c r="J25" s="1053"/>
      <c r="K25" s="718"/>
      <c r="L25" s="718"/>
      <c r="M25" s="718"/>
      <c r="N25" s="708"/>
      <c r="O25" s="718"/>
      <c r="P25" s="718"/>
      <c r="Q25" s="718"/>
      <c r="R25" s="718"/>
      <c r="S25" s="718">
        <v>492250</v>
      </c>
      <c r="T25" s="718">
        <f t="shared" ref="T25" si="9">H25+I25+J25+K25+L25+M25+N25+O25+P25</f>
        <v>0</v>
      </c>
      <c r="U25" s="381">
        <f>S25</f>
        <v>492250</v>
      </c>
      <c r="V25" s="718">
        <f>T25+U25</f>
        <v>492250</v>
      </c>
      <c r="W25" s="718">
        <f>F25-V25</f>
        <v>7750</v>
      </c>
      <c r="X25" s="1041">
        <f>F25-V25</f>
        <v>7750</v>
      </c>
    </row>
    <row r="26" spans="1:24" ht="16.5" x14ac:dyDescent="0.3">
      <c r="A26" s="690"/>
      <c r="C26" s="735"/>
      <c r="D26" s="1040"/>
      <c r="E26" s="1040"/>
      <c r="F26" s="1040"/>
      <c r="G26" s="1040"/>
      <c r="H26" s="1037"/>
      <c r="I26" s="1037"/>
      <c r="J26" s="1037"/>
      <c r="K26" s="1037"/>
      <c r="L26" s="718"/>
      <c r="M26" s="1037"/>
      <c r="N26" s="1037"/>
      <c r="O26" s="1037"/>
      <c r="P26" s="1037"/>
      <c r="Q26" s="1037"/>
      <c r="R26" s="1037"/>
      <c r="S26" s="1037"/>
      <c r="T26" s="718"/>
      <c r="U26" s="381"/>
      <c r="V26" s="718"/>
      <c r="W26" s="718"/>
      <c r="X26" s="1041">
        <f>F26-V26</f>
        <v>0</v>
      </c>
    </row>
    <row r="27" spans="1:24" s="715" customFormat="1" ht="16.5" x14ac:dyDescent="0.3">
      <c r="A27" s="187" t="s">
        <v>1193</v>
      </c>
      <c r="B27" s="1052"/>
      <c r="C27" s="1052"/>
      <c r="D27" s="1045">
        <f t="shared" ref="D27:X27" si="10">SUM(D25:D26)</f>
        <v>1013169</v>
      </c>
      <c r="E27" s="1045">
        <f t="shared" ref="E27" si="11">SUM(E25:E26)</f>
        <v>-513169</v>
      </c>
      <c r="F27" s="1045">
        <f t="shared" si="10"/>
        <v>500000</v>
      </c>
      <c r="G27" s="1045">
        <f t="shared" si="10"/>
        <v>0</v>
      </c>
      <c r="H27" s="1045">
        <f t="shared" si="10"/>
        <v>0</v>
      </c>
      <c r="I27" s="1045">
        <f t="shared" si="10"/>
        <v>0</v>
      </c>
      <c r="J27" s="1045">
        <f t="shared" si="10"/>
        <v>0</v>
      </c>
      <c r="K27" s="1045">
        <f t="shared" si="10"/>
        <v>0</v>
      </c>
      <c r="L27" s="1045">
        <f t="shared" si="10"/>
        <v>0</v>
      </c>
      <c r="M27" s="1045">
        <f t="shared" si="10"/>
        <v>0</v>
      </c>
      <c r="N27" s="1045">
        <f t="shared" si="10"/>
        <v>0</v>
      </c>
      <c r="O27" s="1045">
        <f t="shared" si="10"/>
        <v>0</v>
      </c>
      <c r="P27" s="1045">
        <f t="shared" si="10"/>
        <v>0</v>
      </c>
      <c r="Q27" s="1045">
        <f t="shared" si="10"/>
        <v>0</v>
      </c>
      <c r="R27" s="1045">
        <f t="shared" si="10"/>
        <v>0</v>
      </c>
      <c r="S27" s="1045">
        <f t="shared" si="10"/>
        <v>492250</v>
      </c>
      <c r="T27" s="1045">
        <f t="shared" si="10"/>
        <v>0</v>
      </c>
      <c r="U27" s="1045">
        <f t="shared" si="10"/>
        <v>492250</v>
      </c>
      <c r="V27" s="1045">
        <f t="shared" si="10"/>
        <v>492250</v>
      </c>
      <c r="W27" s="1045">
        <f t="shared" si="10"/>
        <v>7750</v>
      </c>
      <c r="X27" s="1045">
        <f t="shared" si="10"/>
        <v>7750</v>
      </c>
    </row>
    <row r="28" spans="1:24" s="987" customFormat="1" ht="17.25" thickBot="1" x14ac:dyDescent="0.35">
      <c r="A28" s="1057" t="s">
        <v>160</v>
      </c>
      <c r="B28" s="1057"/>
      <c r="C28" s="1058"/>
      <c r="D28" s="1059">
        <f>D15+D23+D27</f>
        <v>1326723.44</v>
      </c>
      <c r="E28" s="1059">
        <f>E15+E23+E27</f>
        <v>0</v>
      </c>
      <c r="F28" s="1059">
        <f>F15+F23+F27</f>
        <v>1326723.44</v>
      </c>
      <c r="G28" s="1059">
        <f t="shared" ref="G28:X28" si="12">G15+G23+G27</f>
        <v>0</v>
      </c>
      <c r="H28" s="1059">
        <f t="shared" si="12"/>
        <v>0</v>
      </c>
      <c r="I28" s="1059">
        <f t="shared" si="12"/>
        <v>0</v>
      </c>
      <c r="J28" s="1059">
        <f t="shared" si="12"/>
        <v>0</v>
      </c>
      <c r="K28" s="1059">
        <f t="shared" si="12"/>
        <v>0</v>
      </c>
      <c r="L28" s="1059">
        <f t="shared" si="12"/>
        <v>0</v>
      </c>
      <c r="M28" s="1059">
        <f t="shared" si="12"/>
        <v>0</v>
      </c>
      <c r="N28" s="1059">
        <f t="shared" si="12"/>
        <v>0</v>
      </c>
      <c r="O28" s="1059">
        <f t="shared" si="12"/>
        <v>0</v>
      </c>
      <c r="P28" s="1059">
        <f t="shared" si="12"/>
        <v>0</v>
      </c>
      <c r="Q28" s="1059">
        <f t="shared" si="12"/>
        <v>0</v>
      </c>
      <c r="R28" s="1059">
        <f t="shared" si="12"/>
        <v>0</v>
      </c>
      <c r="S28" s="1059">
        <f t="shared" si="12"/>
        <v>492250</v>
      </c>
      <c r="T28" s="1059">
        <f>T15+T23+T27</f>
        <v>0</v>
      </c>
      <c r="U28" s="1059">
        <f t="shared" si="12"/>
        <v>1302620</v>
      </c>
      <c r="V28" s="1059">
        <f t="shared" si="12"/>
        <v>1302620</v>
      </c>
      <c r="W28" s="1059">
        <f t="shared" si="12"/>
        <v>24103.439999999944</v>
      </c>
      <c r="X28" s="1059">
        <f t="shared" si="12"/>
        <v>24103.439999999944</v>
      </c>
    </row>
    <row r="29" spans="1:24" ht="15.75" thickTop="1" x14ac:dyDescent="0.25"/>
    <row r="30" spans="1:24" x14ac:dyDescent="0.25">
      <c r="B30" s="951" t="s">
        <v>354</v>
      </c>
      <c r="C30" s="1062"/>
      <c r="D30" s="1063"/>
      <c r="E30" s="1063"/>
      <c r="F30" s="1063"/>
      <c r="G30" s="1063"/>
      <c r="W30" s="743" t="s">
        <v>357</v>
      </c>
    </row>
    <row r="32" spans="1:24" x14ac:dyDescent="0.25">
      <c r="C32" s="988"/>
      <c r="D32" s="1064"/>
      <c r="E32" s="1064"/>
      <c r="F32" s="1064"/>
      <c r="G32" s="1064"/>
    </row>
    <row r="33" spans="1:23" x14ac:dyDescent="0.25">
      <c r="A33" s="742"/>
      <c r="B33" s="742" t="s">
        <v>355</v>
      </c>
      <c r="C33" s="710"/>
      <c r="D33" s="1065"/>
      <c r="E33" s="1065"/>
      <c r="F33" s="1065"/>
      <c r="G33" s="1065"/>
      <c r="W33" s="744" t="s">
        <v>358</v>
      </c>
    </row>
    <row r="34" spans="1:23" x14ac:dyDescent="0.25">
      <c r="A34" s="743"/>
      <c r="B34" s="743" t="s">
        <v>356</v>
      </c>
      <c r="W34" s="743" t="s">
        <v>359</v>
      </c>
    </row>
  </sheetData>
  <mergeCells count="7">
    <mergeCell ref="A2:X2"/>
    <mergeCell ref="A1:X1"/>
    <mergeCell ref="A7:X7"/>
    <mergeCell ref="A6:X6"/>
    <mergeCell ref="A4:X4"/>
    <mergeCell ref="A5:X5"/>
    <mergeCell ref="A3:X3"/>
  </mergeCells>
  <printOptions horizontalCentered="1" verticalCentered="1"/>
  <pageMargins left="0.95" right="0.2" top="0.75" bottom="0.25" header="0.3" footer="0.3"/>
  <pageSetup paperSize="5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view="pageBreakPreview" zoomScale="60" zoomScaleNormal="100" workbookViewId="0">
      <selection activeCell="A17" sqref="A17"/>
    </sheetView>
  </sheetViews>
  <sheetFormatPr defaultColWidth="12.7109375" defaultRowHeight="15" outlineLevelCol="1" x14ac:dyDescent="0.25"/>
  <cols>
    <col min="1" max="1" width="58.5703125" customWidth="1"/>
    <col min="3" max="6" width="15.85546875" customWidth="1"/>
    <col min="7" max="7" width="14.28515625" hidden="1" customWidth="1"/>
    <col min="8" max="8" width="11.140625" hidden="1" customWidth="1"/>
    <col min="9" max="9" width="14.85546875" customWidth="1"/>
    <col min="10" max="20" width="12.7109375" hidden="1" customWidth="1" outlineLevel="1"/>
    <col min="21" max="21" width="14" hidden="1" customWidth="1" outlineLevel="1"/>
    <col min="22" max="22" width="14" customWidth="1" collapsed="1"/>
    <col min="23" max="23" width="14" customWidth="1"/>
  </cols>
  <sheetData>
    <row r="1" spans="1:26" x14ac:dyDescent="0.25">
      <c r="A1" s="1432" t="s">
        <v>352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1432"/>
      <c r="M1" s="1432"/>
      <c r="N1" s="1432"/>
      <c r="O1" s="1432"/>
      <c r="P1" s="1432"/>
      <c r="Q1" s="1432"/>
      <c r="R1" s="1432"/>
      <c r="S1" s="1432"/>
      <c r="T1" s="1432"/>
      <c r="U1" s="1432"/>
      <c r="V1" s="1432"/>
      <c r="W1" s="1432"/>
      <c r="X1" s="1432"/>
      <c r="Y1" s="1432"/>
      <c r="Z1" s="1432"/>
    </row>
    <row r="2" spans="1:26" x14ac:dyDescent="0.25">
      <c r="A2" s="1432" t="s">
        <v>353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1432"/>
      <c r="Y2" s="1432"/>
      <c r="Z2" s="1432"/>
    </row>
    <row r="3" spans="1:26" x14ac:dyDescent="0.25">
      <c r="A3" s="1434" t="str">
        <f>'1012-BPLO'!A3:Z3</f>
        <v>For the Period October 1-31, 2021</v>
      </c>
      <c r="B3" s="1434"/>
      <c r="C3" s="1434"/>
      <c r="D3" s="1434"/>
      <c r="E3" s="1434"/>
      <c r="F3" s="1434"/>
      <c r="G3" s="1434"/>
      <c r="H3" s="1434"/>
      <c r="I3" s="1434"/>
      <c r="J3" s="1434"/>
      <c r="K3" s="1434"/>
      <c r="L3" s="1434"/>
      <c r="M3" s="1434"/>
      <c r="N3" s="1434"/>
      <c r="O3" s="1434"/>
      <c r="P3" s="1434"/>
      <c r="Q3" s="1434"/>
      <c r="R3" s="1434"/>
      <c r="S3" s="1434"/>
      <c r="T3" s="1434"/>
      <c r="U3" s="1434"/>
      <c r="V3" s="1434"/>
      <c r="W3" s="1434"/>
      <c r="X3" s="1434"/>
      <c r="Y3" s="1434"/>
      <c r="Z3" s="1434"/>
    </row>
    <row r="4" spans="1:26" s="21" customFormat="1" x14ac:dyDescent="0.25">
      <c r="A4" s="71" t="s">
        <v>347</v>
      </c>
      <c r="B4" s="71" t="s">
        <v>2</v>
      </c>
      <c r="C4" s="71" t="s">
        <v>133</v>
      </c>
      <c r="D4" s="71" t="s">
        <v>1</v>
      </c>
      <c r="E4" s="71" t="s">
        <v>316</v>
      </c>
      <c r="F4" s="71" t="s">
        <v>314</v>
      </c>
      <c r="G4" s="82" t="s">
        <v>135</v>
      </c>
      <c r="H4" s="82"/>
      <c r="I4" s="74" t="s">
        <v>346</v>
      </c>
      <c r="J4" s="72"/>
      <c r="K4" s="72"/>
      <c r="L4" s="72"/>
      <c r="M4" s="72"/>
      <c r="N4" s="83"/>
      <c r="O4" s="83"/>
      <c r="P4" s="83"/>
      <c r="Q4" s="83"/>
      <c r="R4" s="83"/>
      <c r="S4" s="83"/>
      <c r="T4" s="83"/>
      <c r="U4" s="83"/>
      <c r="V4" s="74" t="s">
        <v>316</v>
      </c>
      <c r="W4" s="74" t="s">
        <v>348</v>
      </c>
      <c r="X4" s="74" t="s">
        <v>1</v>
      </c>
      <c r="Y4" s="74" t="s">
        <v>131</v>
      </c>
      <c r="Z4" s="74" t="s">
        <v>131</v>
      </c>
    </row>
    <row r="5" spans="1:26" s="21" customFormat="1" x14ac:dyDescent="0.25">
      <c r="A5" s="86"/>
      <c r="B5" s="86" t="s">
        <v>3</v>
      </c>
      <c r="C5" s="86" t="s">
        <v>134</v>
      </c>
      <c r="D5" s="86" t="s">
        <v>314</v>
      </c>
      <c r="E5" s="86" t="s">
        <v>314</v>
      </c>
      <c r="F5" s="86" t="s">
        <v>315</v>
      </c>
      <c r="G5" s="95" t="s">
        <v>134</v>
      </c>
      <c r="H5" s="95" t="s">
        <v>136</v>
      </c>
      <c r="I5" s="76" t="s">
        <v>315</v>
      </c>
      <c r="J5" s="76" t="s">
        <v>0</v>
      </c>
      <c r="K5" s="76" t="s">
        <v>120</v>
      </c>
      <c r="L5" s="76" t="s">
        <v>121</v>
      </c>
      <c r="M5" s="76" t="s">
        <v>122</v>
      </c>
      <c r="N5" s="76" t="s">
        <v>123</v>
      </c>
      <c r="O5" s="76" t="s">
        <v>124</v>
      </c>
      <c r="P5" s="76" t="s">
        <v>125</v>
      </c>
      <c r="Q5" s="76" t="s">
        <v>126</v>
      </c>
      <c r="R5" s="76" t="s">
        <v>127</v>
      </c>
      <c r="S5" s="76" t="s">
        <v>128</v>
      </c>
      <c r="T5" s="76" t="s">
        <v>129</v>
      </c>
      <c r="U5" s="76" t="s">
        <v>130</v>
      </c>
      <c r="V5" s="76" t="s">
        <v>317</v>
      </c>
      <c r="W5" s="76" t="s">
        <v>315</v>
      </c>
      <c r="X5" s="76" t="s">
        <v>317</v>
      </c>
      <c r="Y5" s="76" t="s">
        <v>314</v>
      </c>
      <c r="Z5" s="76" t="s">
        <v>132</v>
      </c>
    </row>
    <row r="6" spans="1:26" x14ac:dyDescent="0.25">
      <c r="A6" s="81" t="s">
        <v>361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x14ac:dyDescent="0.25">
      <c r="A7" s="53" t="s">
        <v>145</v>
      </c>
      <c r="B7" s="8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673"/>
      <c r="W7" s="673"/>
      <c r="X7" s="77"/>
      <c r="Y7" s="43"/>
      <c r="Z7" s="48"/>
    </row>
    <row r="8" spans="1:26" x14ac:dyDescent="0.25">
      <c r="A8" s="285" t="s">
        <v>401</v>
      </c>
      <c r="B8" s="87" t="s">
        <v>43</v>
      </c>
      <c r="C8" s="88"/>
      <c r="D8" s="88"/>
      <c r="E8" s="88"/>
      <c r="F8" s="88"/>
      <c r="G8" s="48"/>
      <c r="H8" s="48"/>
      <c r="I8" s="43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673"/>
      <c r="W8" s="673"/>
      <c r="X8" s="77"/>
      <c r="Y8" s="43"/>
      <c r="Z8" s="48"/>
    </row>
    <row r="9" spans="1:26" x14ac:dyDescent="0.25">
      <c r="A9" s="180" t="s">
        <v>402</v>
      </c>
      <c r="B9" s="87" t="s">
        <v>140</v>
      </c>
      <c r="C9" s="311">
        <f>20000</f>
        <v>20000</v>
      </c>
      <c r="D9" s="991">
        <f>C9</f>
        <v>20000</v>
      </c>
      <c r="E9" s="88">
        <f>D9/12*9</f>
        <v>15000</v>
      </c>
      <c r="F9" s="310">
        <f>D9/12</f>
        <v>1666.6666666666667</v>
      </c>
      <c r="G9" s="312"/>
      <c r="H9" s="312"/>
      <c r="I9" s="313">
        <f>E9+F9</f>
        <v>16666.666666666668</v>
      </c>
      <c r="J9" s="89"/>
      <c r="K9" s="48"/>
      <c r="L9" s="48"/>
      <c r="M9" s="48"/>
      <c r="N9" s="48"/>
      <c r="O9" s="48"/>
      <c r="P9" s="48"/>
      <c r="Q9" s="48"/>
      <c r="R9" s="48"/>
      <c r="S9" s="48">
        <v>2700</v>
      </c>
      <c r="T9" s="48"/>
      <c r="U9" s="48"/>
      <c r="V9" s="673">
        <f>J9+K9+L9+M9+N9+O9+P9+Q9+R9</f>
        <v>0</v>
      </c>
      <c r="W9" s="673">
        <f>S9</f>
        <v>2700</v>
      </c>
      <c r="X9" s="43">
        <f>V9+W9</f>
        <v>2700</v>
      </c>
      <c r="Y9" s="43">
        <f>I9-X9</f>
        <v>13966.666666666668</v>
      </c>
      <c r="Z9" s="89">
        <f>D9-X9</f>
        <v>17300</v>
      </c>
    </row>
    <row r="10" spans="1:26" x14ac:dyDescent="0.25">
      <c r="A10" s="180" t="s">
        <v>403</v>
      </c>
      <c r="B10" s="87" t="s">
        <v>148</v>
      </c>
      <c r="C10" s="311">
        <f>110400</f>
        <v>110400</v>
      </c>
      <c r="D10" s="991">
        <f t="shared" ref="D10:D15" si="0">C10</f>
        <v>110400</v>
      </c>
      <c r="E10" s="811">
        <f t="shared" ref="E10:E15" si="1">D10/12*9</f>
        <v>82800</v>
      </c>
      <c r="F10" s="310">
        <f t="shared" ref="F10:F15" si="2">D10/12</f>
        <v>9200</v>
      </c>
      <c r="G10" s="312"/>
      <c r="H10" s="312"/>
      <c r="I10" s="313">
        <f t="shared" ref="I10:I15" si="3">E10+F10</f>
        <v>92000</v>
      </c>
      <c r="J10" s="90"/>
      <c r="K10" s="90"/>
      <c r="L10" s="90"/>
      <c r="M10" s="90"/>
      <c r="N10" s="90"/>
      <c r="O10" s="90"/>
      <c r="P10" s="90"/>
      <c r="Q10" s="90"/>
      <c r="R10" s="90"/>
      <c r="S10" s="90">
        <v>39150</v>
      </c>
      <c r="T10" s="90"/>
      <c r="U10" s="90"/>
      <c r="V10" s="673">
        <f t="shared" ref="V10:V15" si="4">J10+K10+L10+M10+N10+O10+P10+Q10+R10</f>
        <v>0</v>
      </c>
      <c r="W10" s="673">
        <f t="shared" ref="W10:W15" si="5">S10</f>
        <v>39150</v>
      </c>
      <c r="X10" s="718">
        <f t="shared" ref="X10:X15" si="6">V10+W10</f>
        <v>39150</v>
      </c>
      <c r="Y10" s="718">
        <f t="shared" ref="Y10:Y15" si="7">I10-X10</f>
        <v>52850</v>
      </c>
      <c r="Z10" s="874">
        <f t="shared" ref="Z10:Z15" si="8">D10-X10</f>
        <v>71250</v>
      </c>
    </row>
    <row r="11" spans="1:26" x14ac:dyDescent="0.25">
      <c r="A11" s="286" t="s">
        <v>404</v>
      </c>
      <c r="B11" s="87"/>
      <c r="C11" s="311"/>
      <c r="D11" s="991">
        <f t="shared" si="0"/>
        <v>0</v>
      </c>
      <c r="E11" s="811">
        <f t="shared" si="1"/>
        <v>0</v>
      </c>
      <c r="F11" s="310">
        <f t="shared" si="2"/>
        <v>0</v>
      </c>
      <c r="G11" s="312"/>
      <c r="H11" s="312"/>
      <c r="I11" s="313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673">
        <f t="shared" si="4"/>
        <v>0</v>
      </c>
      <c r="W11" s="673">
        <f t="shared" si="5"/>
        <v>0</v>
      </c>
      <c r="X11" s="718">
        <f t="shared" si="6"/>
        <v>0</v>
      </c>
      <c r="Y11" s="718">
        <f t="shared" si="7"/>
        <v>0</v>
      </c>
      <c r="Z11" s="874">
        <f t="shared" si="8"/>
        <v>0</v>
      </c>
    </row>
    <row r="12" spans="1:26" x14ac:dyDescent="0.25">
      <c r="A12" s="285" t="s">
        <v>405</v>
      </c>
      <c r="B12" s="87" t="s">
        <v>150</v>
      </c>
      <c r="C12" s="311"/>
      <c r="D12" s="991">
        <f t="shared" si="0"/>
        <v>0</v>
      </c>
      <c r="E12" s="811">
        <f t="shared" si="1"/>
        <v>0</v>
      </c>
      <c r="F12" s="310">
        <f t="shared" si="2"/>
        <v>0</v>
      </c>
      <c r="G12" s="312"/>
      <c r="H12" s="312"/>
      <c r="I12" s="313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673">
        <f t="shared" si="4"/>
        <v>0</v>
      </c>
      <c r="W12" s="673">
        <f t="shared" si="5"/>
        <v>0</v>
      </c>
      <c r="X12" s="718">
        <f t="shared" si="6"/>
        <v>0</v>
      </c>
      <c r="Y12" s="718">
        <f t="shared" si="7"/>
        <v>0</v>
      </c>
      <c r="Z12" s="874">
        <f t="shared" si="8"/>
        <v>0</v>
      </c>
    </row>
    <row r="13" spans="1:26" x14ac:dyDescent="0.25">
      <c r="A13" s="180" t="s">
        <v>406</v>
      </c>
      <c r="B13" s="87"/>
      <c r="C13" s="311">
        <f>5000</f>
        <v>5000</v>
      </c>
      <c r="D13" s="991">
        <f t="shared" si="0"/>
        <v>5000</v>
      </c>
      <c r="E13" s="811">
        <f t="shared" si="1"/>
        <v>3750</v>
      </c>
      <c r="F13" s="310">
        <f t="shared" si="2"/>
        <v>416.66666666666669</v>
      </c>
      <c r="G13" s="312"/>
      <c r="H13" s="312"/>
      <c r="I13" s="313">
        <f t="shared" si="3"/>
        <v>4166.666666666667</v>
      </c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673">
        <f t="shared" si="4"/>
        <v>0</v>
      </c>
      <c r="W13" s="673">
        <f t="shared" si="5"/>
        <v>0</v>
      </c>
      <c r="X13" s="718">
        <f t="shared" si="6"/>
        <v>0</v>
      </c>
      <c r="Y13" s="718">
        <f t="shared" si="7"/>
        <v>4166.666666666667</v>
      </c>
      <c r="Z13" s="874">
        <f t="shared" si="8"/>
        <v>5000</v>
      </c>
    </row>
    <row r="14" spans="1:26" x14ac:dyDescent="0.25">
      <c r="A14" s="285" t="s">
        <v>152</v>
      </c>
      <c r="B14" s="87" t="s">
        <v>153</v>
      </c>
      <c r="C14" s="311">
        <f>4000</f>
        <v>4000</v>
      </c>
      <c r="D14" s="991">
        <f t="shared" si="0"/>
        <v>4000</v>
      </c>
      <c r="E14" s="811">
        <f t="shared" si="1"/>
        <v>3000</v>
      </c>
      <c r="F14" s="310">
        <f t="shared" si="2"/>
        <v>333.33333333333331</v>
      </c>
      <c r="G14" s="312"/>
      <c r="H14" s="312"/>
      <c r="I14" s="313">
        <f t="shared" ref="I14" si="9">E14+F14</f>
        <v>3333.3333333333335</v>
      </c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673">
        <f t="shared" si="4"/>
        <v>0</v>
      </c>
      <c r="W14" s="673">
        <f t="shared" si="5"/>
        <v>0</v>
      </c>
      <c r="X14" s="718">
        <f t="shared" si="6"/>
        <v>0</v>
      </c>
      <c r="Y14" s="718">
        <f t="shared" si="7"/>
        <v>3333.3333333333335</v>
      </c>
      <c r="Z14" s="874">
        <f t="shared" si="8"/>
        <v>4000</v>
      </c>
    </row>
    <row r="15" spans="1:26" x14ac:dyDescent="0.25">
      <c r="A15" s="273" t="s">
        <v>253</v>
      </c>
      <c r="B15" s="87" t="s">
        <v>93</v>
      </c>
      <c r="C15" s="311">
        <v>15000</v>
      </c>
      <c r="D15" s="991">
        <f t="shared" si="0"/>
        <v>15000</v>
      </c>
      <c r="E15" s="811">
        <f t="shared" si="1"/>
        <v>11250</v>
      </c>
      <c r="F15" s="310">
        <f t="shared" si="2"/>
        <v>1250</v>
      </c>
      <c r="G15" s="312"/>
      <c r="H15" s="312"/>
      <c r="I15" s="313">
        <f t="shared" si="3"/>
        <v>12500</v>
      </c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673">
        <f t="shared" si="4"/>
        <v>0</v>
      </c>
      <c r="W15" s="673">
        <f t="shared" si="5"/>
        <v>0</v>
      </c>
      <c r="X15" s="718">
        <f t="shared" si="6"/>
        <v>0</v>
      </c>
      <c r="Y15" s="718">
        <f t="shared" si="7"/>
        <v>12500</v>
      </c>
      <c r="Z15" s="874">
        <f t="shared" si="8"/>
        <v>15000</v>
      </c>
    </row>
    <row r="16" spans="1:26" s="316" customFormat="1" x14ac:dyDescent="0.25">
      <c r="A16" s="309" t="s">
        <v>108</v>
      </c>
      <c r="B16" s="314"/>
      <c r="C16" s="318">
        <f>SUM(C8:C15)</f>
        <v>154400</v>
      </c>
      <c r="D16" s="315">
        <f t="shared" ref="D16:Z16" si="10">SUM(D9:D15)</f>
        <v>154400</v>
      </c>
      <c r="E16" s="315">
        <f t="shared" si="10"/>
        <v>115800</v>
      </c>
      <c r="F16" s="315">
        <f t="shared" si="10"/>
        <v>12866.666666666666</v>
      </c>
      <c r="G16" s="315">
        <f t="shared" si="10"/>
        <v>0</v>
      </c>
      <c r="H16" s="315">
        <f t="shared" si="10"/>
        <v>0</v>
      </c>
      <c r="I16" s="315">
        <f t="shared" si="10"/>
        <v>128666.66666666667</v>
      </c>
      <c r="J16" s="315">
        <f t="shared" si="10"/>
        <v>0</v>
      </c>
      <c r="K16" s="315">
        <f t="shared" si="10"/>
        <v>0</v>
      </c>
      <c r="L16" s="315">
        <f t="shared" si="10"/>
        <v>0</v>
      </c>
      <c r="M16" s="315">
        <f t="shared" si="10"/>
        <v>0</v>
      </c>
      <c r="N16" s="315">
        <f t="shared" si="10"/>
        <v>0</v>
      </c>
      <c r="O16" s="315">
        <f t="shared" si="10"/>
        <v>0</v>
      </c>
      <c r="P16" s="315">
        <f t="shared" si="10"/>
        <v>0</v>
      </c>
      <c r="Q16" s="315">
        <f t="shared" si="10"/>
        <v>0</v>
      </c>
      <c r="R16" s="315">
        <f t="shared" si="10"/>
        <v>0</v>
      </c>
      <c r="S16" s="315">
        <f t="shared" si="10"/>
        <v>41850</v>
      </c>
      <c r="T16" s="315">
        <f t="shared" si="10"/>
        <v>0</v>
      </c>
      <c r="U16" s="315">
        <f t="shared" si="10"/>
        <v>0</v>
      </c>
      <c r="V16" s="315">
        <f t="shared" si="10"/>
        <v>0</v>
      </c>
      <c r="W16" s="315">
        <f t="shared" si="10"/>
        <v>41850</v>
      </c>
      <c r="X16" s="315">
        <f t="shared" si="10"/>
        <v>41850</v>
      </c>
      <c r="Y16" s="315">
        <f t="shared" si="10"/>
        <v>86816.666666666672</v>
      </c>
      <c r="Z16" s="315">
        <f t="shared" si="10"/>
        <v>112550</v>
      </c>
    </row>
    <row r="17" spans="1:26" s="316" customFormat="1" x14ac:dyDescent="0.25">
      <c r="A17" s="309" t="s">
        <v>349</v>
      </c>
      <c r="B17" s="205"/>
      <c r="C17" s="317">
        <f>SUM(C16)</f>
        <v>154400</v>
      </c>
      <c r="D17" s="317">
        <f t="shared" ref="D17:Z17" si="11">SUM(D16)</f>
        <v>154400</v>
      </c>
      <c r="E17" s="317">
        <f t="shared" si="11"/>
        <v>115800</v>
      </c>
      <c r="F17" s="317">
        <f t="shared" si="11"/>
        <v>12866.666666666666</v>
      </c>
      <c r="G17" s="317">
        <f t="shared" si="11"/>
        <v>0</v>
      </c>
      <c r="H17" s="317">
        <f t="shared" si="11"/>
        <v>0</v>
      </c>
      <c r="I17" s="317">
        <f t="shared" si="11"/>
        <v>128666.66666666667</v>
      </c>
      <c r="J17" s="317">
        <f t="shared" si="11"/>
        <v>0</v>
      </c>
      <c r="K17" s="317">
        <f t="shared" si="11"/>
        <v>0</v>
      </c>
      <c r="L17" s="317">
        <f t="shared" si="11"/>
        <v>0</v>
      </c>
      <c r="M17" s="317">
        <f t="shared" si="11"/>
        <v>0</v>
      </c>
      <c r="N17" s="317">
        <f t="shared" si="11"/>
        <v>0</v>
      </c>
      <c r="O17" s="317">
        <f t="shared" si="11"/>
        <v>0</v>
      </c>
      <c r="P17" s="317">
        <f t="shared" si="11"/>
        <v>0</v>
      </c>
      <c r="Q17" s="317">
        <f t="shared" si="11"/>
        <v>0</v>
      </c>
      <c r="R17" s="317">
        <f t="shared" si="11"/>
        <v>0</v>
      </c>
      <c r="S17" s="317">
        <f t="shared" si="11"/>
        <v>41850</v>
      </c>
      <c r="T17" s="317">
        <f t="shared" si="11"/>
        <v>0</v>
      </c>
      <c r="U17" s="317">
        <f t="shared" si="11"/>
        <v>0</v>
      </c>
      <c r="V17" s="317">
        <f t="shared" si="11"/>
        <v>0</v>
      </c>
      <c r="W17" s="317">
        <f t="shared" si="11"/>
        <v>41850</v>
      </c>
      <c r="X17" s="317">
        <f t="shared" si="11"/>
        <v>41850</v>
      </c>
      <c r="Y17" s="317">
        <f t="shared" si="11"/>
        <v>86816.666666666672</v>
      </c>
      <c r="Z17" s="317">
        <f t="shared" si="11"/>
        <v>112550</v>
      </c>
    </row>
    <row r="18" spans="1:26" x14ac:dyDescent="0.25">
      <c r="A18" s="10"/>
      <c r="B18" s="11"/>
    </row>
    <row r="19" spans="1:26" x14ac:dyDescent="0.25">
      <c r="A19" s="12"/>
      <c r="B19" s="9"/>
    </row>
    <row r="20" spans="1:26" ht="20.25" customHeight="1" x14ac:dyDescent="0.25">
      <c r="A20" t="s">
        <v>354</v>
      </c>
      <c r="B20" s="30"/>
      <c r="C20" s="35"/>
      <c r="D20" s="35"/>
      <c r="E20" s="35"/>
      <c r="F20" s="35"/>
      <c r="Y20" s="259" t="s">
        <v>357</v>
      </c>
    </row>
    <row r="21" spans="1:26" x14ac:dyDescent="0.25">
      <c r="B21" s="32"/>
      <c r="C21" s="36"/>
      <c r="D21" s="36"/>
      <c r="E21" s="36"/>
      <c r="F21" s="36"/>
    </row>
    <row r="23" spans="1:26" x14ac:dyDescent="0.25">
      <c r="A23" s="258" t="s">
        <v>355</v>
      </c>
      <c r="B23" s="14"/>
      <c r="C23" s="31"/>
      <c r="D23" s="31"/>
      <c r="E23" s="31"/>
      <c r="F23" s="31"/>
      <c r="Y23" s="260" t="s">
        <v>358</v>
      </c>
    </row>
    <row r="24" spans="1:26" x14ac:dyDescent="0.25">
      <c r="A24" s="259" t="s">
        <v>356</v>
      </c>
      <c r="Y24" s="259" t="s">
        <v>359</v>
      </c>
    </row>
    <row r="25" spans="1:26" x14ac:dyDescent="0.25">
      <c r="A25" s="3"/>
      <c r="B25" s="9"/>
    </row>
    <row r="26" spans="1:26" x14ac:dyDescent="0.25">
      <c r="A26" s="3"/>
      <c r="B26" s="9"/>
    </row>
  </sheetData>
  <mergeCells count="3">
    <mergeCell ref="A1:Z1"/>
    <mergeCell ref="A2:Z2"/>
    <mergeCell ref="A3:Z3"/>
  </mergeCells>
  <printOptions horizontalCentered="1"/>
  <pageMargins left="0.70866141732283505" right="0.20866141699999999" top="0.99803149599999996" bottom="0.24803149599999999" header="6.4960630000000005E-2" footer="6.4960630000000005E-2"/>
  <pageSetup paperSize="5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view="pageBreakPreview" topLeftCell="A7" zoomScale="80" zoomScaleNormal="86" zoomScaleSheetLayoutView="80" workbookViewId="0">
      <pane xSplit="1" topLeftCell="Y1" activePane="topRight" state="frozen"/>
      <selection pane="topRight" activeCell="Z18" sqref="Z18"/>
    </sheetView>
  </sheetViews>
  <sheetFormatPr defaultRowHeight="15" outlineLevelCol="1" x14ac:dyDescent="0.25"/>
  <cols>
    <col min="1" max="1" width="58.5703125" customWidth="1"/>
    <col min="2" max="2" width="12.7109375"/>
    <col min="3" max="3" width="15.85546875" customWidth="1"/>
    <col min="4" max="6" width="14.42578125" style="951" customWidth="1"/>
    <col min="7" max="8" width="15.85546875" style="708" customWidth="1"/>
    <col min="9" max="9" width="15.85546875" customWidth="1"/>
    <col min="10" max="10" width="14.28515625" hidden="1" customWidth="1"/>
    <col min="11" max="11" width="11.140625" hidden="1" customWidth="1"/>
    <col min="12" max="12" width="14.85546875" customWidth="1"/>
    <col min="13" max="14" width="12.7109375" hidden="1" customWidth="1" outlineLevel="1"/>
    <col min="15" max="15" width="17" style="708" hidden="1" customWidth="1" outlineLevel="1"/>
    <col min="16" max="20" width="12.7109375" hidden="1" customWidth="1" outlineLevel="1"/>
    <col min="21" max="23" width="12.7109375" style="708" hidden="1" customWidth="1" outlineLevel="1"/>
    <col min="24" max="24" width="14" hidden="1" customWidth="1" outlineLevel="1"/>
    <col min="25" max="25" width="14" customWidth="1" collapsed="1"/>
    <col min="26" max="26" width="14" customWidth="1"/>
    <col min="27" max="27" width="11.42578125" customWidth="1"/>
    <col min="28" max="28" width="11.85546875" customWidth="1"/>
    <col min="29" max="29" width="14.28515625" customWidth="1"/>
  </cols>
  <sheetData>
    <row r="1" spans="1:29" x14ac:dyDescent="0.25">
      <c r="A1" s="1432" t="s">
        <v>352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1432"/>
      <c r="M1" s="1432"/>
      <c r="N1" s="1432"/>
      <c r="O1" s="1432"/>
      <c r="P1" s="1432"/>
      <c r="Q1" s="1432"/>
      <c r="R1" s="1432"/>
      <c r="S1" s="1432"/>
      <c r="T1" s="1432"/>
      <c r="U1" s="1432"/>
      <c r="V1" s="1432"/>
      <c r="W1" s="1432"/>
      <c r="X1" s="1432"/>
      <c r="Y1" s="1432"/>
      <c r="Z1" s="1432"/>
      <c r="AA1" s="1432"/>
      <c r="AB1" s="1432"/>
      <c r="AC1" s="1432"/>
    </row>
    <row r="2" spans="1:29" x14ac:dyDescent="0.25">
      <c r="A2" s="1432" t="s">
        <v>353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1432"/>
      <c r="Y2" s="1432"/>
      <c r="Z2" s="1432"/>
      <c r="AA2" s="1432"/>
      <c r="AB2" s="1432"/>
      <c r="AC2" s="1432"/>
    </row>
    <row r="3" spans="1:29" x14ac:dyDescent="0.25">
      <c r="A3" s="1434" t="str">
        <f>'1012-BPLO'!A3:Z3</f>
        <v>For the Period October 1-31, 2021</v>
      </c>
      <c r="B3" s="1434"/>
      <c r="C3" s="1434"/>
      <c r="D3" s="1434"/>
      <c r="E3" s="1434"/>
      <c r="F3" s="1434"/>
      <c r="G3" s="1434"/>
      <c r="H3" s="1434"/>
      <c r="I3" s="1434"/>
      <c r="J3" s="1434"/>
      <c r="K3" s="1434"/>
      <c r="L3" s="1434"/>
      <c r="M3" s="1434"/>
      <c r="N3" s="1434"/>
      <c r="O3" s="1434"/>
      <c r="P3" s="1434"/>
      <c r="Q3" s="1434"/>
      <c r="R3" s="1434"/>
      <c r="S3" s="1434"/>
      <c r="T3" s="1434"/>
      <c r="U3" s="1434"/>
      <c r="V3" s="1434"/>
      <c r="W3" s="1434"/>
      <c r="X3" s="1434"/>
      <c r="Y3" s="1434"/>
      <c r="Z3" s="1434"/>
      <c r="AA3" s="1434"/>
      <c r="AB3" s="1434"/>
      <c r="AC3" s="1434"/>
    </row>
    <row r="4" spans="1:29" s="21" customFormat="1" ht="26.25" x14ac:dyDescent="0.25">
      <c r="A4" s="71" t="s">
        <v>347</v>
      </c>
      <c r="B4" s="71" t="s">
        <v>2</v>
      </c>
      <c r="C4" s="71" t="s">
        <v>133</v>
      </c>
      <c r="D4" s="1073" t="s">
        <v>1204</v>
      </c>
      <c r="E4" s="1073" t="s">
        <v>1204</v>
      </c>
      <c r="F4" s="1073" t="s">
        <v>1204</v>
      </c>
      <c r="G4" s="74" t="s">
        <v>1</v>
      </c>
      <c r="H4" s="74" t="s">
        <v>316</v>
      </c>
      <c r="I4" s="71" t="s">
        <v>314</v>
      </c>
      <c r="J4" s="82" t="s">
        <v>135</v>
      </c>
      <c r="K4" s="82"/>
      <c r="L4" s="74" t="s">
        <v>346</v>
      </c>
      <c r="M4" s="72"/>
      <c r="N4" s="72"/>
      <c r="O4" s="72"/>
      <c r="P4" s="72"/>
      <c r="Q4" s="83"/>
      <c r="R4" s="83"/>
      <c r="S4" s="83"/>
      <c r="T4" s="83"/>
      <c r="U4" s="83"/>
      <c r="V4" s="83"/>
      <c r="W4" s="83"/>
      <c r="X4" s="83"/>
      <c r="Y4" s="74" t="s">
        <v>316</v>
      </c>
      <c r="Z4" s="74" t="s">
        <v>348</v>
      </c>
      <c r="AA4" s="74" t="s">
        <v>1</v>
      </c>
      <c r="AB4" s="74" t="s">
        <v>131</v>
      </c>
      <c r="AC4" s="74" t="s">
        <v>131</v>
      </c>
    </row>
    <row r="5" spans="1:29" s="21" customFormat="1" x14ac:dyDescent="0.25">
      <c r="A5" s="86"/>
      <c r="B5" s="86" t="s">
        <v>3</v>
      </c>
      <c r="C5" s="86" t="s">
        <v>134</v>
      </c>
      <c r="D5" s="1009" t="s">
        <v>1184</v>
      </c>
      <c r="E5" s="1009" t="s">
        <v>1354</v>
      </c>
      <c r="F5" s="1009" t="s">
        <v>1320</v>
      </c>
      <c r="G5" s="724" t="s">
        <v>314</v>
      </c>
      <c r="H5" s="724" t="s">
        <v>314</v>
      </c>
      <c r="I5" s="86" t="s">
        <v>315</v>
      </c>
      <c r="J5" s="95" t="s">
        <v>134</v>
      </c>
      <c r="K5" s="95" t="s">
        <v>136</v>
      </c>
      <c r="L5" s="76" t="s">
        <v>315</v>
      </c>
      <c r="M5" s="76" t="s">
        <v>0</v>
      </c>
      <c r="N5" s="76" t="s">
        <v>120</v>
      </c>
      <c r="O5" s="724" t="s">
        <v>121</v>
      </c>
      <c r="P5" s="76" t="s">
        <v>122</v>
      </c>
      <c r="Q5" s="76" t="s">
        <v>123</v>
      </c>
      <c r="R5" s="76" t="s">
        <v>124</v>
      </c>
      <c r="S5" s="76" t="s">
        <v>125</v>
      </c>
      <c r="T5" s="76" t="s">
        <v>126</v>
      </c>
      <c r="U5" s="724" t="s">
        <v>127</v>
      </c>
      <c r="V5" s="724" t="s">
        <v>128</v>
      </c>
      <c r="W5" s="724" t="s">
        <v>129</v>
      </c>
      <c r="X5" s="76" t="s">
        <v>130</v>
      </c>
      <c r="Y5" s="76" t="s">
        <v>317</v>
      </c>
      <c r="Z5" s="76" t="s">
        <v>315</v>
      </c>
      <c r="AA5" s="76" t="s">
        <v>317</v>
      </c>
      <c r="AB5" s="76" t="s">
        <v>314</v>
      </c>
      <c r="AC5" s="76" t="s">
        <v>132</v>
      </c>
    </row>
    <row r="6" spans="1:29" x14ac:dyDescent="0.25">
      <c r="A6" s="81" t="s">
        <v>361</v>
      </c>
      <c r="B6" s="48"/>
      <c r="C6" s="48"/>
      <c r="D6" s="869"/>
      <c r="E6" s="869"/>
      <c r="F6" s="869"/>
      <c r="G6" s="673"/>
      <c r="H6" s="673"/>
      <c r="I6" s="48"/>
      <c r="J6" s="48"/>
      <c r="K6" s="48"/>
      <c r="L6" s="48"/>
      <c r="M6" s="48"/>
      <c r="N6" s="48"/>
      <c r="O6" s="673"/>
      <c r="P6" s="48"/>
      <c r="Q6" s="48"/>
      <c r="R6" s="48"/>
      <c r="S6" s="48"/>
      <c r="T6" s="48"/>
      <c r="U6" s="673"/>
      <c r="V6" s="673"/>
      <c r="W6" s="673"/>
      <c r="X6" s="48"/>
      <c r="Y6" s="48"/>
      <c r="Z6" s="48"/>
      <c r="AA6" s="48"/>
      <c r="AB6" s="48"/>
      <c r="AC6" s="48"/>
    </row>
    <row r="7" spans="1:29" x14ac:dyDescent="0.25">
      <c r="A7" s="53" t="s">
        <v>145</v>
      </c>
      <c r="B7" s="87"/>
      <c r="C7" s="48"/>
      <c r="D7" s="869"/>
      <c r="E7" s="869"/>
      <c r="F7" s="869"/>
      <c r="G7" s="673"/>
      <c r="H7" s="673"/>
      <c r="I7" s="48"/>
      <c r="J7" s="48"/>
      <c r="K7" s="48"/>
      <c r="L7" s="48"/>
      <c r="M7" s="48"/>
      <c r="N7" s="48"/>
      <c r="O7" s="673"/>
      <c r="P7" s="48"/>
      <c r="Q7" s="48"/>
      <c r="R7" s="48"/>
      <c r="S7" s="48"/>
      <c r="T7" s="48"/>
      <c r="U7" s="673"/>
      <c r="V7" s="673"/>
      <c r="W7" s="673"/>
      <c r="X7" s="48"/>
      <c r="Y7" s="48"/>
      <c r="Z7" s="48"/>
      <c r="AA7" s="77"/>
      <c r="AB7" s="43"/>
      <c r="AC7" s="48"/>
    </row>
    <row r="8" spans="1:29" x14ac:dyDescent="0.25">
      <c r="A8" s="66" t="s">
        <v>139</v>
      </c>
      <c r="B8" s="87" t="s">
        <v>43</v>
      </c>
      <c r="C8" s="88"/>
      <c r="D8" s="811"/>
      <c r="E8" s="811"/>
      <c r="F8" s="811"/>
      <c r="G8" s="720"/>
      <c r="H8" s="720"/>
      <c r="I8" s="88"/>
      <c r="J8" s="48"/>
      <c r="K8" s="48"/>
      <c r="L8" s="43"/>
      <c r="M8" s="48"/>
      <c r="N8" s="48"/>
      <c r="O8" s="673"/>
      <c r="P8" s="48"/>
      <c r="Q8" s="48"/>
      <c r="R8" s="48"/>
      <c r="S8" s="1195"/>
      <c r="T8" s="48"/>
      <c r="U8" s="673"/>
      <c r="V8" s="673"/>
      <c r="W8" s="673"/>
      <c r="X8" s="48"/>
      <c r="Y8" s="48"/>
      <c r="Z8" s="48"/>
      <c r="AA8" s="77"/>
      <c r="AB8" s="43"/>
      <c r="AC8" s="48"/>
    </row>
    <row r="9" spans="1:29" x14ac:dyDescent="0.25">
      <c r="A9" s="66" t="s">
        <v>146</v>
      </c>
      <c r="B9" s="87"/>
      <c r="C9" s="88">
        <v>40000</v>
      </c>
      <c r="D9" s="811"/>
      <c r="E9" s="811"/>
      <c r="F9" s="811"/>
      <c r="G9" s="720">
        <f>SUM(C9:F9)</f>
        <v>40000</v>
      </c>
      <c r="H9" s="720">
        <f>G9/12*9</f>
        <v>30000</v>
      </c>
      <c r="I9" s="88">
        <f>G9/12</f>
        <v>3333.3333333333335</v>
      </c>
      <c r="J9" s="48"/>
      <c r="K9" s="48"/>
      <c r="L9" s="43">
        <f>H9+I9</f>
        <v>33333.333333333336</v>
      </c>
      <c r="M9" s="89"/>
      <c r="N9" s="48"/>
      <c r="O9" s="673">
        <v>1390</v>
      </c>
      <c r="P9" s="48"/>
      <c r="Q9" s="48"/>
      <c r="R9" s="48"/>
      <c r="S9" s="1195">
        <v>0</v>
      </c>
      <c r="T9" s="48">
        <v>1660</v>
      </c>
      <c r="U9" s="673">
        <f>3180+1280</f>
        <v>4460</v>
      </c>
      <c r="V9" s="673"/>
      <c r="W9" s="673"/>
      <c r="X9" s="48"/>
      <c r="Y9" s="874">
        <f>M9+N9+O9+P9+Q9+R9+S9+T9+U9</f>
        <v>7510</v>
      </c>
      <c r="Z9" s="90">
        <f>V9</f>
        <v>0</v>
      </c>
      <c r="AA9" s="43">
        <f>Y9+Z9</f>
        <v>7510</v>
      </c>
      <c r="AB9" s="43">
        <f>L9-AA9</f>
        <v>25823.333333333336</v>
      </c>
      <c r="AC9" s="89">
        <f>G9-AA9</f>
        <v>32490</v>
      </c>
    </row>
    <row r="10" spans="1:29" x14ac:dyDescent="0.25">
      <c r="A10" s="66" t="s">
        <v>147</v>
      </c>
      <c r="B10" s="87" t="s">
        <v>148</v>
      </c>
      <c r="C10" s="88">
        <f>21600</f>
        <v>21600</v>
      </c>
      <c r="D10" s="811"/>
      <c r="E10" s="811">
        <v>5060</v>
      </c>
      <c r="F10" s="811"/>
      <c r="G10" s="720">
        <f t="shared" ref="G10:G19" si="0">SUM(C10:F10)</f>
        <v>26660</v>
      </c>
      <c r="H10" s="720">
        <f t="shared" ref="H10:H20" si="1">G10/12*9</f>
        <v>19995</v>
      </c>
      <c r="I10" s="88">
        <f t="shared" ref="I10:I20" si="2">G10/12</f>
        <v>2221.6666666666665</v>
      </c>
      <c r="J10" s="48"/>
      <c r="K10" s="48"/>
      <c r="L10" s="43">
        <f t="shared" ref="L10:L20" si="3">H10+I10</f>
        <v>22216.666666666668</v>
      </c>
      <c r="M10" s="90"/>
      <c r="N10" s="90"/>
      <c r="O10" s="673"/>
      <c r="P10" s="90"/>
      <c r="Q10" s="90"/>
      <c r="R10" s="90"/>
      <c r="S10" s="90">
        <v>3000</v>
      </c>
      <c r="T10" s="90">
        <v>8060</v>
      </c>
      <c r="U10" s="673">
        <f>3382.5+5094.5+450</f>
        <v>8927</v>
      </c>
      <c r="V10" s="1251">
        <v>500</v>
      </c>
      <c r="W10" s="673"/>
      <c r="X10" s="90"/>
      <c r="Y10" s="874">
        <f t="shared" ref="Y10:Y20" si="4">M10+N10+O10+P10+Q10+R10+S10+T10+U10</f>
        <v>19987</v>
      </c>
      <c r="Z10" s="673">
        <f t="shared" ref="Z10:Z20" si="5">V10</f>
        <v>500</v>
      </c>
      <c r="AA10" s="43">
        <f t="shared" ref="AA10:AA20" si="6">Y10+Z10</f>
        <v>20487</v>
      </c>
      <c r="AB10" s="43">
        <f t="shared" ref="AB10:AB20" si="7">L10-AA10</f>
        <v>1729.6666666666679</v>
      </c>
      <c r="AC10" s="89">
        <f>G10-AA10</f>
        <v>6173</v>
      </c>
    </row>
    <row r="11" spans="1:29" x14ac:dyDescent="0.25">
      <c r="A11" s="66" t="s">
        <v>149</v>
      </c>
      <c r="B11" s="87" t="s">
        <v>51</v>
      </c>
      <c r="C11" s="88">
        <f>70000</f>
        <v>70000</v>
      </c>
      <c r="D11" s="811"/>
      <c r="E11" s="811"/>
      <c r="F11" s="811"/>
      <c r="G11" s="720">
        <f t="shared" si="0"/>
        <v>70000</v>
      </c>
      <c r="H11" s="720">
        <f t="shared" si="1"/>
        <v>52500</v>
      </c>
      <c r="I11" s="88">
        <f t="shared" si="2"/>
        <v>5833.333333333333</v>
      </c>
      <c r="J11" s="48"/>
      <c r="K11" s="48"/>
      <c r="L11" s="43">
        <f t="shared" si="3"/>
        <v>58333.333333333336</v>
      </c>
      <c r="M11" s="90"/>
      <c r="N11" s="90"/>
      <c r="O11" s="673">
        <v>14828</v>
      </c>
      <c r="P11" s="90"/>
      <c r="Q11" s="90"/>
      <c r="R11" s="90">
        <f>2625+10101+1530</f>
        <v>14256</v>
      </c>
      <c r="S11" s="90">
        <v>2220</v>
      </c>
      <c r="T11" s="90">
        <f>1462+210</f>
        <v>1672</v>
      </c>
      <c r="U11" s="673">
        <v>9099</v>
      </c>
      <c r="V11" s="673"/>
      <c r="W11" s="673"/>
      <c r="X11" s="90"/>
      <c r="Y11" s="874">
        <f t="shared" si="4"/>
        <v>42075</v>
      </c>
      <c r="Z11" s="673">
        <f t="shared" si="5"/>
        <v>0</v>
      </c>
      <c r="AA11" s="43">
        <f t="shared" si="6"/>
        <v>42075</v>
      </c>
      <c r="AB11" s="43">
        <f t="shared" si="7"/>
        <v>16258.333333333336</v>
      </c>
      <c r="AC11" s="89">
        <f t="shared" ref="AC11:AC20" si="8">G11-AA11</f>
        <v>27925</v>
      </c>
    </row>
    <row r="12" spans="1:29" x14ac:dyDescent="0.25">
      <c r="A12" s="66" t="s">
        <v>141</v>
      </c>
      <c r="B12" s="87" t="s">
        <v>60</v>
      </c>
      <c r="C12" s="88">
        <f>24000</f>
        <v>24000</v>
      </c>
      <c r="D12" s="811"/>
      <c r="E12" s="811"/>
      <c r="F12" s="811"/>
      <c r="G12" s="720">
        <f t="shared" si="0"/>
        <v>24000</v>
      </c>
      <c r="H12" s="720">
        <f t="shared" si="1"/>
        <v>18000</v>
      </c>
      <c r="I12" s="88">
        <f t="shared" si="2"/>
        <v>2000</v>
      </c>
      <c r="J12" s="48"/>
      <c r="K12" s="48"/>
      <c r="L12" s="43">
        <f t="shared" si="3"/>
        <v>20000</v>
      </c>
      <c r="M12" s="90"/>
      <c r="N12" s="90">
        <v>2000</v>
      </c>
      <c r="O12" s="673">
        <v>3539.07</v>
      </c>
      <c r="P12" s="90">
        <v>2000</v>
      </c>
      <c r="Q12" s="90">
        <v>3499</v>
      </c>
      <c r="R12" s="90">
        <v>1499</v>
      </c>
      <c r="S12" s="90"/>
      <c r="T12" s="90">
        <v>1499</v>
      </c>
      <c r="U12" s="673">
        <v>1499</v>
      </c>
      <c r="V12" s="673">
        <f>1499+2505</f>
        <v>4004</v>
      </c>
      <c r="W12" s="673"/>
      <c r="X12" s="90"/>
      <c r="Y12" s="874">
        <f t="shared" si="4"/>
        <v>15535.07</v>
      </c>
      <c r="Z12" s="673">
        <f t="shared" si="5"/>
        <v>4004</v>
      </c>
      <c r="AA12" s="43">
        <f t="shared" si="6"/>
        <v>19539.07</v>
      </c>
      <c r="AB12" s="43">
        <f t="shared" si="7"/>
        <v>460.93000000000029</v>
      </c>
      <c r="AC12" s="89">
        <f t="shared" si="8"/>
        <v>4460.93</v>
      </c>
    </row>
    <row r="13" spans="1:29" x14ac:dyDescent="0.25">
      <c r="A13" s="66" t="s">
        <v>151</v>
      </c>
      <c r="B13" s="87" t="s">
        <v>62</v>
      </c>
      <c r="C13" s="88">
        <v>15600</v>
      </c>
      <c r="D13" s="811"/>
      <c r="E13" s="811"/>
      <c r="F13" s="811">
        <f>5000</f>
        <v>5000</v>
      </c>
      <c r="G13" s="720">
        <f t="shared" si="0"/>
        <v>20600</v>
      </c>
      <c r="H13" s="720">
        <f t="shared" si="1"/>
        <v>15450</v>
      </c>
      <c r="I13" s="88">
        <f t="shared" si="2"/>
        <v>1716.6666666666667</v>
      </c>
      <c r="J13" s="48"/>
      <c r="K13" s="48"/>
      <c r="L13" s="43">
        <f t="shared" si="3"/>
        <v>17166.666666666668</v>
      </c>
      <c r="M13" s="90">
        <v>1300</v>
      </c>
      <c r="N13" s="90"/>
      <c r="O13" s="673">
        <v>2600</v>
      </c>
      <c r="P13" s="90">
        <v>1300</v>
      </c>
      <c r="Q13" s="90">
        <v>2600</v>
      </c>
      <c r="R13" s="90"/>
      <c r="S13" s="90">
        <v>1699</v>
      </c>
      <c r="T13" s="90">
        <v>1699</v>
      </c>
      <c r="U13" s="673">
        <v>1699</v>
      </c>
      <c r="V13" s="673">
        <v>1698</v>
      </c>
      <c r="W13" s="673"/>
      <c r="X13" s="90"/>
      <c r="Y13" s="874">
        <f t="shared" si="4"/>
        <v>12897</v>
      </c>
      <c r="Z13" s="673">
        <f t="shared" si="5"/>
        <v>1698</v>
      </c>
      <c r="AA13" s="718">
        <f t="shared" ref="AA13:AA14" si="9">Y13+Z13</f>
        <v>14595</v>
      </c>
      <c r="AB13" s="718">
        <f t="shared" ref="AB13:AB14" si="10">L13-AA13</f>
        <v>2571.6666666666679</v>
      </c>
      <c r="AC13" s="89">
        <f t="shared" si="8"/>
        <v>6005</v>
      </c>
    </row>
    <row r="14" spans="1:29" x14ac:dyDescent="0.25">
      <c r="A14" s="66" t="s">
        <v>232</v>
      </c>
      <c r="B14" s="87"/>
      <c r="C14" s="88"/>
      <c r="D14" s="811"/>
      <c r="E14" s="811"/>
      <c r="F14" s="811"/>
      <c r="G14" s="720">
        <f t="shared" si="0"/>
        <v>0</v>
      </c>
      <c r="H14" s="720">
        <f t="shared" si="1"/>
        <v>0</v>
      </c>
      <c r="I14" s="88"/>
      <c r="J14" s="48"/>
      <c r="K14" s="48"/>
      <c r="L14" s="43"/>
      <c r="M14" s="90"/>
      <c r="N14" s="90"/>
      <c r="O14" s="673"/>
      <c r="P14" s="90"/>
      <c r="Q14" s="90"/>
      <c r="R14" s="90"/>
      <c r="S14" s="90"/>
      <c r="T14" s="90"/>
      <c r="U14" s="673"/>
      <c r="V14" s="673"/>
      <c r="W14" s="673"/>
      <c r="X14" s="90"/>
      <c r="Y14" s="874">
        <f t="shared" si="4"/>
        <v>0</v>
      </c>
      <c r="Z14" s="673">
        <f t="shared" si="5"/>
        <v>0</v>
      </c>
      <c r="AA14" s="718">
        <f t="shared" si="9"/>
        <v>0</v>
      </c>
      <c r="AB14" s="718">
        <f t="shared" si="10"/>
        <v>0</v>
      </c>
      <c r="AC14" s="89">
        <f t="shared" si="8"/>
        <v>0</v>
      </c>
    </row>
    <row r="15" spans="1:29" x14ac:dyDescent="0.25">
      <c r="A15" s="91" t="s">
        <v>398</v>
      </c>
      <c r="B15" s="87" t="s">
        <v>153</v>
      </c>
      <c r="C15" s="52">
        <f>25000</f>
        <v>25000</v>
      </c>
      <c r="D15" s="720"/>
      <c r="E15" s="720"/>
      <c r="F15" s="720"/>
      <c r="G15" s="720">
        <f t="shared" si="0"/>
        <v>25000</v>
      </c>
      <c r="H15" s="720">
        <f t="shared" si="1"/>
        <v>18750</v>
      </c>
      <c r="I15" s="88">
        <f t="shared" si="2"/>
        <v>2083.3333333333335</v>
      </c>
      <c r="J15" s="48"/>
      <c r="K15" s="48"/>
      <c r="L15" s="43">
        <f t="shared" si="3"/>
        <v>20833.333333333332</v>
      </c>
      <c r="M15" s="90"/>
      <c r="N15" s="90"/>
      <c r="O15" s="673"/>
      <c r="P15" s="90"/>
      <c r="Q15" s="90"/>
      <c r="R15" s="90"/>
      <c r="S15" s="90"/>
      <c r="T15" s="90"/>
      <c r="U15" s="673"/>
      <c r="V15" s="673"/>
      <c r="W15" s="673"/>
      <c r="X15" s="90"/>
      <c r="Y15" s="874">
        <f t="shared" si="4"/>
        <v>0</v>
      </c>
      <c r="Z15" s="673">
        <f t="shared" si="5"/>
        <v>0</v>
      </c>
      <c r="AA15" s="43">
        <f t="shared" si="6"/>
        <v>0</v>
      </c>
      <c r="AB15" s="43">
        <f t="shared" si="7"/>
        <v>20833.333333333332</v>
      </c>
      <c r="AC15" s="89">
        <f t="shared" si="8"/>
        <v>25000</v>
      </c>
    </row>
    <row r="16" spans="1:29" x14ac:dyDescent="0.25">
      <c r="A16" s="66" t="s">
        <v>69</v>
      </c>
      <c r="B16" s="87" t="s">
        <v>70</v>
      </c>
      <c r="C16" s="88">
        <f>434400</f>
        <v>434400</v>
      </c>
      <c r="D16" s="811"/>
      <c r="E16" s="811"/>
      <c r="F16" s="811">
        <f>-5000</f>
        <v>-5000</v>
      </c>
      <c r="G16" s="720">
        <f t="shared" si="0"/>
        <v>429400</v>
      </c>
      <c r="H16" s="720">
        <f t="shared" si="1"/>
        <v>322050</v>
      </c>
      <c r="I16" s="88">
        <f t="shared" si="2"/>
        <v>35783.333333333336</v>
      </c>
      <c r="J16" s="48"/>
      <c r="K16" s="48"/>
      <c r="L16" s="43">
        <f t="shared" si="3"/>
        <v>357833.33333333331</v>
      </c>
      <c r="M16" s="90">
        <v>16787.5</v>
      </c>
      <c r="N16" s="90">
        <v>26377.5</v>
      </c>
      <c r="O16" s="673">
        <v>26389.17</v>
      </c>
      <c r="P16" s="90">
        <v>26400</v>
      </c>
      <c r="Q16" s="90">
        <v>25400</v>
      </c>
      <c r="R16" s="90">
        <v>30000</v>
      </c>
      <c r="S16" s="90">
        <v>19183.330000000002</v>
      </c>
      <c r="T16" s="90">
        <v>26400</v>
      </c>
      <c r="U16" s="673">
        <v>26400</v>
      </c>
      <c r="V16" s="673">
        <v>26400</v>
      </c>
      <c r="W16" s="673"/>
      <c r="X16" s="90"/>
      <c r="Y16" s="874">
        <f t="shared" si="4"/>
        <v>223337.5</v>
      </c>
      <c r="Z16" s="673">
        <f t="shared" si="5"/>
        <v>26400</v>
      </c>
      <c r="AA16" s="43">
        <f t="shared" si="6"/>
        <v>249737.5</v>
      </c>
      <c r="AB16" s="43">
        <f t="shared" si="7"/>
        <v>108095.83333333331</v>
      </c>
      <c r="AC16" s="89">
        <f t="shared" si="8"/>
        <v>179662.5</v>
      </c>
    </row>
    <row r="17" spans="1:29" x14ac:dyDescent="0.25">
      <c r="A17" s="45" t="s">
        <v>75</v>
      </c>
      <c r="B17" s="46" t="s">
        <v>76</v>
      </c>
      <c r="C17" s="88">
        <f>3086</f>
        <v>3086</v>
      </c>
      <c r="D17" s="811"/>
      <c r="E17" s="811"/>
      <c r="F17" s="811"/>
      <c r="G17" s="720">
        <f t="shared" si="0"/>
        <v>3086</v>
      </c>
      <c r="H17" s="720">
        <f t="shared" si="1"/>
        <v>2314.5</v>
      </c>
      <c r="I17" s="88">
        <f t="shared" si="2"/>
        <v>257.16666666666669</v>
      </c>
      <c r="J17" s="48"/>
      <c r="K17" s="48"/>
      <c r="L17" s="43">
        <f t="shared" si="3"/>
        <v>2571.6666666666665</v>
      </c>
      <c r="M17" s="90"/>
      <c r="N17" s="90"/>
      <c r="O17" s="673"/>
      <c r="P17" s="90"/>
      <c r="Q17" s="90"/>
      <c r="R17" s="90"/>
      <c r="S17" s="90"/>
      <c r="T17" s="90">
        <v>960</v>
      </c>
      <c r="U17" s="673"/>
      <c r="V17" s="673"/>
      <c r="W17" s="673"/>
      <c r="X17" s="90"/>
      <c r="Y17" s="874">
        <f t="shared" si="4"/>
        <v>960</v>
      </c>
      <c r="Z17" s="673">
        <f t="shared" si="5"/>
        <v>0</v>
      </c>
      <c r="AA17" s="43">
        <f t="shared" si="6"/>
        <v>960</v>
      </c>
      <c r="AB17" s="43">
        <f t="shared" si="7"/>
        <v>1611.6666666666665</v>
      </c>
      <c r="AC17" s="89">
        <f t="shared" si="8"/>
        <v>2126</v>
      </c>
    </row>
    <row r="18" spans="1:29" x14ac:dyDescent="0.25">
      <c r="A18" s="45" t="s">
        <v>142</v>
      </c>
      <c r="B18" s="46" t="s">
        <v>76</v>
      </c>
      <c r="C18" s="88">
        <f>7000</f>
        <v>7000</v>
      </c>
      <c r="D18" s="811"/>
      <c r="E18" s="811"/>
      <c r="F18" s="811"/>
      <c r="G18" s="720">
        <f t="shared" si="0"/>
        <v>7000</v>
      </c>
      <c r="H18" s="720">
        <f t="shared" si="1"/>
        <v>5250</v>
      </c>
      <c r="I18" s="88">
        <f t="shared" si="2"/>
        <v>583.33333333333337</v>
      </c>
      <c r="J18" s="48"/>
      <c r="K18" s="48"/>
      <c r="L18" s="43">
        <f t="shared" si="3"/>
        <v>5833.333333333333</v>
      </c>
      <c r="M18" s="90"/>
      <c r="N18" s="90"/>
      <c r="O18" s="673">
        <v>900</v>
      </c>
      <c r="P18" s="90"/>
      <c r="Q18" s="90"/>
      <c r="R18" s="90"/>
      <c r="S18" s="90"/>
      <c r="T18" s="90">
        <v>450</v>
      </c>
      <c r="U18" s="673">
        <v>900</v>
      </c>
      <c r="V18" s="673">
        <v>3850</v>
      </c>
      <c r="W18" s="673"/>
      <c r="X18" s="90"/>
      <c r="Y18" s="874">
        <f t="shared" si="4"/>
        <v>2250</v>
      </c>
      <c r="Z18" s="673">
        <f t="shared" si="5"/>
        <v>3850</v>
      </c>
      <c r="AA18" s="43">
        <f t="shared" si="6"/>
        <v>6100</v>
      </c>
      <c r="AB18" s="43">
        <f t="shared" si="7"/>
        <v>-266.66666666666697</v>
      </c>
      <c r="AC18" s="89">
        <f t="shared" si="8"/>
        <v>900</v>
      </c>
    </row>
    <row r="19" spans="1:29" x14ac:dyDescent="0.25">
      <c r="A19" s="66" t="s">
        <v>399</v>
      </c>
      <c r="B19" s="87" t="s">
        <v>93</v>
      </c>
      <c r="C19" s="88"/>
      <c r="D19" s="811"/>
      <c r="E19" s="811"/>
      <c r="F19" s="811"/>
      <c r="G19" s="720">
        <f t="shared" si="0"/>
        <v>0</v>
      </c>
      <c r="H19" s="720">
        <f t="shared" si="1"/>
        <v>0</v>
      </c>
      <c r="I19" s="88">
        <f t="shared" si="2"/>
        <v>0</v>
      </c>
      <c r="J19" s="48"/>
      <c r="K19" s="48"/>
      <c r="L19" s="43">
        <f t="shared" si="3"/>
        <v>0</v>
      </c>
      <c r="M19" s="48"/>
      <c r="N19" s="48"/>
      <c r="O19" s="673"/>
      <c r="P19" s="48"/>
      <c r="Q19" s="48"/>
      <c r="R19" s="48"/>
      <c r="S19" s="48"/>
      <c r="T19" s="48"/>
      <c r="U19" s="673"/>
      <c r="V19" s="673"/>
      <c r="W19" s="673"/>
      <c r="X19" s="48"/>
      <c r="Y19" s="874">
        <f t="shared" si="4"/>
        <v>0</v>
      </c>
      <c r="Z19" s="673">
        <f t="shared" si="5"/>
        <v>0</v>
      </c>
      <c r="AA19" s="43">
        <f t="shared" si="6"/>
        <v>0</v>
      </c>
      <c r="AB19" s="43">
        <f t="shared" si="7"/>
        <v>0</v>
      </c>
      <c r="AC19" s="89">
        <f t="shared" si="8"/>
        <v>0</v>
      </c>
    </row>
    <row r="20" spans="1:29" x14ac:dyDescent="0.25">
      <c r="A20" s="66" t="s">
        <v>400</v>
      </c>
      <c r="B20" s="92"/>
      <c r="C20" s="88">
        <v>5000</v>
      </c>
      <c r="D20" s="811"/>
      <c r="E20" s="811"/>
      <c r="F20" s="811"/>
      <c r="G20" s="720">
        <f t="shared" ref="G20" si="11">SUM(C20:D20)</f>
        <v>5000</v>
      </c>
      <c r="H20" s="720">
        <f t="shared" si="1"/>
        <v>3750</v>
      </c>
      <c r="I20" s="88">
        <f t="shared" si="2"/>
        <v>416.66666666666669</v>
      </c>
      <c r="J20" s="48"/>
      <c r="K20" s="48"/>
      <c r="L20" s="43">
        <f t="shared" si="3"/>
        <v>4166.666666666667</v>
      </c>
      <c r="M20" s="48"/>
      <c r="N20" s="48"/>
      <c r="O20" s="673"/>
      <c r="P20" s="48"/>
      <c r="Q20" s="48"/>
      <c r="R20" s="48"/>
      <c r="S20" s="48"/>
      <c r="T20" s="48"/>
      <c r="U20" s="673"/>
      <c r="V20" s="673"/>
      <c r="W20" s="673"/>
      <c r="X20" s="48"/>
      <c r="Y20" s="874">
        <f t="shared" si="4"/>
        <v>0</v>
      </c>
      <c r="Z20" s="673">
        <f t="shared" si="5"/>
        <v>0</v>
      </c>
      <c r="AA20" s="43">
        <f t="shared" si="6"/>
        <v>0</v>
      </c>
      <c r="AB20" s="43">
        <f t="shared" si="7"/>
        <v>4166.666666666667</v>
      </c>
      <c r="AC20" s="89">
        <f t="shared" si="8"/>
        <v>5000</v>
      </c>
    </row>
    <row r="21" spans="1:29" s="712" customFormat="1" x14ac:dyDescent="0.25">
      <c r="A21" s="53" t="s">
        <v>108</v>
      </c>
      <c r="B21" s="94"/>
      <c r="C21" s="990">
        <f t="shared" ref="C21:R21" si="12">SUM(C8:C20)</f>
        <v>645686</v>
      </c>
      <c r="D21" s="990">
        <f t="shared" si="12"/>
        <v>0</v>
      </c>
      <c r="E21" s="990">
        <f t="shared" si="12"/>
        <v>5060</v>
      </c>
      <c r="F21" s="990">
        <f t="shared" si="12"/>
        <v>0</v>
      </c>
      <c r="G21" s="990">
        <f t="shared" si="12"/>
        <v>650746</v>
      </c>
      <c r="H21" s="990">
        <f t="shared" si="12"/>
        <v>488059.5</v>
      </c>
      <c r="I21" s="990">
        <f t="shared" si="12"/>
        <v>54228.833333333336</v>
      </c>
      <c r="J21" s="990">
        <f t="shared" si="12"/>
        <v>0</v>
      </c>
      <c r="K21" s="990">
        <f t="shared" si="12"/>
        <v>0</v>
      </c>
      <c r="L21" s="990">
        <f t="shared" si="12"/>
        <v>542288.33333333326</v>
      </c>
      <c r="M21" s="990">
        <f t="shared" si="12"/>
        <v>18087.5</v>
      </c>
      <c r="N21" s="990">
        <f t="shared" si="12"/>
        <v>28377.5</v>
      </c>
      <c r="O21" s="990">
        <f t="shared" si="12"/>
        <v>49646.239999999998</v>
      </c>
      <c r="P21" s="990">
        <f t="shared" si="12"/>
        <v>29700</v>
      </c>
      <c r="Q21" s="990">
        <f t="shared" si="12"/>
        <v>31499</v>
      </c>
      <c r="R21" s="990">
        <f t="shared" si="12"/>
        <v>45755</v>
      </c>
      <c r="S21" s="990">
        <f>SUM(S8:S20)</f>
        <v>26102.33</v>
      </c>
      <c r="T21" s="990">
        <f t="shared" ref="T21:AB21" si="13">SUM(T8:T20)</f>
        <v>42400</v>
      </c>
      <c r="U21" s="990">
        <f t="shared" si="13"/>
        <v>52984</v>
      </c>
      <c r="V21" s="990">
        <f t="shared" si="13"/>
        <v>36452</v>
      </c>
      <c r="W21" s="990">
        <f t="shared" si="13"/>
        <v>0</v>
      </c>
      <c r="X21" s="990">
        <f t="shared" si="13"/>
        <v>0</v>
      </c>
      <c r="Y21" s="990">
        <f t="shared" si="13"/>
        <v>324551.57</v>
      </c>
      <c r="Z21" s="990">
        <f t="shared" si="13"/>
        <v>36452</v>
      </c>
      <c r="AA21" s="990">
        <f>SUM(AA8:AA20)</f>
        <v>361003.57</v>
      </c>
      <c r="AB21" s="990">
        <f t="shared" si="13"/>
        <v>181284.76333333331</v>
      </c>
      <c r="AC21" s="990">
        <f>SUM(AC8:AC20)</f>
        <v>289742.43</v>
      </c>
    </row>
    <row r="22" spans="1:29" s="712" customFormat="1" x14ac:dyDescent="0.25">
      <c r="A22" s="812" t="s">
        <v>338</v>
      </c>
      <c r="B22" s="94"/>
      <c r="C22" s="732"/>
      <c r="D22" s="990"/>
      <c r="E22" s="990"/>
      <c r="F22" s="990"/>
      <c r="G22" s="990"/>
      <c r="H22" s="990"/>
      <c r="I22" s="732"/>
      <c r="J22" s="732"/>
      <c r="K22" s="732"/>
      <c r="L22" s="732"/>
      <c r="M22" s="732"/>
      <c r="N22" s="732"/>
      <c r="O22" s="990"/>
      <c r="P22" s="732"/>
      <c r="Q22" s="732"/>
      <c r="R22" s="732"/>
      <c r="S22" s="732"/>
      <c r="T22" s="732"/>
      <c r="U22" s="990"/>
      <c r="V22" s="990"/>
      <c r="W22" s="990"/>
      <c r="X22" s="732"/>
      <c r="Y22" s="732"/>
      <c r="Z22" s="732"/>
      <c r="AA22" s="718">
        <f t="shared" ref="AA22:AA24" si="14">Y22+Z22</f>
        <v>0</v>
      </c>
      <c r="AB22" s="718">
        <f t="shared" ref="AB22:AB24" si="15">L22-AA22</f>
        <v>0</v>
      </c>
      <c r="AC22" s="814">
        <f t="shared" ref="AC22:AC24" si="16">G22-AA22</f>
        <v>0</v>
      </c>
    </row>
    <row r="23" spans="1:29" s="712" customFormat="1" x14ac:dyDescent="0.25">
      <c r="A23" s="815" t="s">
        <v>112</v>
      </c>
      <c r="B23" s="94" t="s">
        <v>113</v>
      </c>
      <c r="C23" s="716"/>
      <c r="D23" s="989"/>
      <c r="E23" s="989"/>
      <c r="F23" s="989"/>
      <c r="G23" s="990"/>
      <c r="H23" s="990"/>
      <c r="I23" s="732"/>
      <c r="J23" s="732"/>
      <c r="K23" s="732"/>
      <c r="L23" s="732"/>
      <c r="M23" s="732"/>
      <c r="N23" s="732"/>
      <c r="O23" s="990"/>
      <c r="P23" s="732"/>
      <c r="Q23" s="732"/>
      <c r="R23" s="732"/>
      <c r="S23" s="732"/>
      <c r="T23" s="732"/>
      <c r="U23" s="990"/>
      <c r="V23" s="990"/>
      <c r="W23" s="990"/>
      <c r="X23" s="732"/>
      <c r="Y23" s="732"/>
      <c r="Z23" s="732"/>
      <c r="AA23" s="718">
        <f t="shared" si="14"/>
        <v>0</v>
      </c>
      <c r="AB23" s="718">
        <f t="shared" si="15"/>
        <v>0</v>
      </c>
      <c r="AC23" s="814">
        <f t="shared" si="16"/>
        <v>0</v>
      </c>
    </row>
    <row r="24" spans="1:29" s="712" customFormat="1" x14ac:dyDescent="0.25">
      <c r="A24" s="179" t="s">
        <v>301</v>
      </c>
      <c r="B24" s="94"/>
      <c r="C24" s="716">
        <v>1000</v>
      </c>
      <c r="D24" s="989">
        <f>-1000</f>
        <v>-1000</v>
      </c>
      <c r="E24" s="989"/>
      <c r="F24" s="989"/>
      <c r="G24" s="720">
        <f t="shared" ref="G24:G25" si="17">SUM(C24:F24)</f>
        <v>0</v>
      </c>
      <c r="H24" s="720">
        <f t="shared" ref="H24:H25" si="18">G24/12*7</f>
        <v>0</v>
      </c>
      <c r="I24" s="720">
        <f>G24</f>
        <v>0</v>
      </c>
      <c r="J24" s="673"/>
      <c r="K24" s="673"/>
      <c r="L24" s="718">
        <f>G24</f>
        <v>0</v>
      </c>
      <c r="M24" s="732"/>
      <c r="N24" s="732"/>
      <c r="O24" s="990"/>
      <c r="P24" s="732"/>
      <c r="Q24" s="732"/>
      <c r="R24" s="732"/>
      <c r="S24" s="732"/>
      <c r="T24" s="732"/>
      <c r="U24" s="990"/>
      <c r="V24" s="990"/>
      <c r="W24" s="990"/>
      <c r="X24" s="732"/>
      <c r="Y24" s="874">
        <f t="shared" ref="Y24:Y25" si="19">M24+N24+O24+P24+Q24+R24+S24+T24+U24</f>
        <v>0</v>
      </c>
      <c r="Z24" s="673">
        <f t="shared" ref="Z24:Z25" si="20">V24</f>
        <v>0</v>
      </c>
      <c r="AA24" s="718">
        <f t="shared" si="14"/>
        <v>0</v>
      </c>
      <c r="AB24" s="718">
        <f t="shared" si="15"/>
        <v>0</v>
      </c>
      <c r="AC24" s="814">
        <f t="shared" si="16"/>
        <v>0</v>
      </c>
    </row>
    <row r="25" spans="1:29" s="712" customFormat="1" x14ac:dyDescent="0.25">
      <c r="A25" s="179" t="s">
        <v>1084</v>
      </c>
      <c r="B25" s="94"/>
      <c r="C25" s="716">
        <v>2000</v>
      </c>
      <c r="D25" s="989">
        <f>-2000</f>
        <v>-2000</v>
      </c>
      <c r="E25" s="989"/>
      <c r="F25" s="989"/>
      <c r="G25" s="720">
        <f t="shared" si="17"/>
        <v>0</v>
      </c>
      <c r="H25" s="720">
        <f t="shared" si="18"/>
        <v>0</v>
      </c>
      <c r="I25" s="720">
        <f>G25</f>
        <v>0</v>
      </c>
      <c r="J25" s="673"/>
      <c r="K25" s="673"/>
      <c r="L25" s="718">
        <f t="shared" ref="L25:L30" si="21">G25</f>
        <v>0</v>
      </c>
      <c r="M25" s="732"/>
      <c r="N25" s="732"/>
      <c r="O25" s="990"/>
      <c r="P25" s="732"/>
      <c r="Q25" s="732"/>
      <c r="R25" s="732"/>
      <c r="S25" s="732"/>
      <c r="T25" s="990">
        <f ca="1">SUM(T24:T25)</f>
        <v>0</v>
      </c>
      <c r="U25" s="990"/>
      <c r="V25" s="990"/>
      <c r="W25" s="990"/>
      <c r="X25" s="732"/>
      <c r="Y25" s="874">
        <f t="shared" ca="1" si="19"/>
        <v>0</v>
      </c>
      <c r="Z25" s="673">
        <f t="shared" si="20"/>
        <v>0</v>
      </c>
      <c r="AA25" s="718">
        <f t="shared" ref="AA25" ca="1" si="22">Y25+Z25</f>
        <v>0</v>
      </c>
      <c r="AB25" s="718">
        <f t="shared" ref="AB25" ca="1" si="23">L25-AA25</f>
        <v>0</v>
      </c>
      <c r="AC25" s="874">
        <f t="shared" ref="AC25" ca="1" si="24">G25-AA25</f>
        <v>0</v>
      </c>
    </row>
    <row r="26" spans="1:29" s="712" customFormat="1" x14ac:dyDescent="0.25">
      <c r="A26" s="309" t="s">
        <v>333</v>
      </c>
      <c r="B26" s="94"/>
      <c r="C26" s="732">
        <f>SUM(C24:C25)</f>
        <v>3000</v>
      </c>
      <c r="D26" s="990">
        <f t="shared" ref="D26:X26" si="25">SUM(D24:D25)</f>
        <v>-3000</v>
      </c>
      <c r="E26" s="990">
        <f t="shared" si="25"/>
        <v>0</v>
      </c>
      <c r="F26" s="990">
        <f t="shared" si="25"/>
        <v>0</v>
      </c>
      <c r="G26" s="990">
        <f t="shared" si="25"/>
        <v>0</v>
      </c>
      <c r="H26" s="990">
        <f t="shared" si="25"/>
        <v>0</v>
      </c>
      <c r="I26" s="990">
        <f t="shared" si="25"/>
        <v>0</v>
      </c>
      <c r="J26" s="990">
        <f t="shared" si="25"/>
        <v>0</v>
      </c>
      <c r="K26" s="990">
        <f t="shared" si="25"/>
        <v>0</v>
      </c>
      <c r="L26" s="990">
        <f t="shared" si="25"/>
        <v>0</v>
      </c>
      <c r="M26" s="990">
        <f t="shared" si="25"/>
        <v>0</v>
      </c>
      <c r="N26" s="990">
        <f t="shared" si="25"/>
        <v>0</v>
      </c>
      <c r="O26" s="990">
        <f t="shared" si="25"/>
        <v>0</v>
      </c>
      <c r="P26" s="990">
        <f t="shared" si="25"/>
        <v>0</v>
      </c>
      <c r="Q26" s="990">
        <f t="shared" si="25"/>
        <v>0</v>
      </c>
      <c r="R26" s="990">
        <f t="shared" si="25"/>
        <v>0</v>
      </c>
      <c r="S26" s="990">
        <f t="shared" si="25"/>
        <v>0</v>
      </c>
      <c r="U26" s="990">
        <f t="shared" si="25"/>
        <v>0</v>
      </c>
      <c r="V26" s="990">
        <f t="shared" si="25"/>
        <v>0</v>
      </c>
      <c r="W26" s="990">
        <f t="shared" si="25"/>
        <v>0</v>
      </c>
      <c r="X26" s="990">
        <f t="shared" si="25"/>
        <v>0</v>
      </c>
      <c r="Y26" s="990">
        <f ca="1">SUM(Y24:Y25)</f>
        <v>0</v>
      </c>
      <c r="Z26" s="990">
        <f t="shared" ref="Z26:AC26" si="26">SUM(Z24:Z25)</f>
        <v>0</v>
      </c>
      <c r="AA26" s="990">
        <f t="shared" ca="1" si="26"/>
        <v>0</v>
      </c>
      <c r="AB26" s="990">
        <f t="shared" ca="1" si="26"/>
        <v>0</v>
      </c>
      <c r="AC26" s="990">
        <f t="shared" ca="1" si="26"/>
        <v>0</v>
      </c>
    </row>
    <row r="27" spans="1:29" s="712" customFormat="1" x14ac:dyDescent="0.25">
      <c r="A27" s="309" t="s">
        <v>329</v>
      </c>
      <c r="B27" s="94"/>
      <c r="C27" s="989"/>
      <c r="D27" s="989"/>
      <c r="E27" s="989"/>
      <c r="F27" s="989"/>
      <c r="G27" s="720"/>
      <c r="H27" s="990"/>
      <c r="I27" s="720"/>
      <c r="J27" s="673"/>
      <c r="K27" s="673"/>
      <c r="L27" s="718">
        <f t="shared" si="21"/>
        <v>0</v>
      </c>
      <c r="M27" s="732"/>
      <c r="N27" s="732"/>
      <c r="O27" s="990"/>
      <c r="P27" s="732"/>
      <c r="Q27" s="732"/>
      <c r="R27" s="732"/>
      <c r="S27" s="732"/>
      <c r="T27" s="732"/>
      <c r="U27" s="990"/>
      <c r="V27" s="990"/>
      <c r="W27" s="990"/>
      <c r="X27" s="732"/>
      <c r="Y27" s="732"/>
      <c r="Z27" s="718"/>
      <c r="AA27" s="718"/>
      <c r="AB27" s="814"/>
      <c r="AC27" s="732"/>
    </row>
    <row r="28" spans="1:29" s="712" customFormat="1" x14ac:dyDescent="0.25">
      <c r="A28" s="815" t="s">
        <v>112</v>
      </c>
      <c r="B28" s="94" t="s">
        <v>113</v>
      </c>
      <c r="C28" s="937"/>
      <c r="D28" s="937"/>
      <c r="E28" s="937"/>
      <c r="F28" s="937"/>
      <c r="G28" s="720"/>
      <c r="H28" s="990"/>
      <c r="I28" s="720"/>
      <c r="J28" s="673"/>
      <c r="K28" s="673"/>
      <c r="L28" s="718">
        <f t="shared" si="21"/>
        <v>0</v>
      </c>
      <c r="M28" s="732"/>
      <c r="N28" s="732"/>
      <c r="O28" s="990"/>
      <c r="P28" s="732"/>
      <c r="Q28" s="732"/>
      <c r="R28" s="732"/>
      <c r="S28" s="732"/>
      <c r="T28" s="732"/>
      <c r="U28" s="990"/>
      <c r="V28" s="990"/>
      <c r="W28" s="990"/>
      <c r="X28" s="732"/>
      <c r="Y28" s="874">
        <f t="shared" ref="Y28:Y30" si="27">M28+N28+O28+P28+Q28+R28+S28+T28+U28</f>
        <v>0</v>
      </c>
      <c r="Z28" s="673">
        <f t="shared" ref="Z28:Z30" si="28">V28</f>
        <v>0</v>
      </c>
      <c r="AA28" s="718">
        <f t="shared" ref="AA28:AA30" si="29">Y28+Z28</f>
        <v>0</v>
      </c>
      <c r="AB28" s="718">
        <f t="shared" ref="AB28:AB30" si="30">L28-AA28</f>
        <v>0</v>
      </c>
      <c r="AC28" s="814">
        <f t="shared" ref="AC28:AC30" si="31">G28-AA28</f>
        <v>0</v>
      </c>
    </row>
    <row r="29" spans="1:29" s="712" customFormat="1" x14ac:dyDescent="0.25">
      <c r="A29" s="813" t="s">
        <v>742</v>
      </c>
      <c r="B29" s="94"/>
      <c r="C29" s="989">
        <v>50000</v>
      </c>
      <c r="D29" s="989"/>
      <c r="E29" s="989"/>
      <c r="F29" s="989"/>
      <c r="G29" s="720">
        <f t="shared" ref="G29:G30" si="32">SUM(C29:F29)</f>
        <v>50000</v>
      </c>
      <c r="H29" s="989">
        <f t="shared" ref="H29:H30" si="33">G29</f>
        <v>50000</v>
      </c>
      <c r="I29" s="720">
        <f t="shared" ref="I29:I30" si="34">G29</f>
        <v>50000</v>
      </c>
      <c r="J29" s="673"/>
      <c r="K29" s="673"/>
      <c r="L29" s="718">
        <f t="shared" si="21"/>
        <v>50000</v>
      </c>
      <c r="M29" s="732"/>
      <c r="N29" s="732"/>
      <c r="O29" s="990"/>
      <c r="P29" s="732"/>
      <c r="Q29" s="732"/>
      <c r="R29" s="732"/>
      <c r="S29" s="732"/>
      <c r="T29" s="732">
        <v>49500</v>
      </c>
      <c r="U29" s="990"/>
      <c r="V29" s="990"/>
      <c r="W29" s="990"/>
      <c r="X29" s="732"/>
      <c r="Y29" s="874">
        <f t="shared" si="27"/>
        <v>49500</v>
      </c>
      <c r="Z29" s="673">
        <f t="shared" si="28"/>
        <v>0</v>
      </c>
      <c r="AA29" s="718">
        <f t="shared" si="29"/>
        <v>49500</v>
      </c>
      <c r="AB29" s="718">
        <f t="shared" si="30"/>
        <v>500</v>
      </c>
      <c r="AC29" s="814">
        <f t="shared" si="31"/>
        <v>500</v>
      </c>
    </row>
    <row r="30" spans="1:29" s="712" customFormat="1" x14ac:dyDescent="0.25">
      <c r="A30" s="813" t="s">
        <v>1085</v>
      </c>
      <c r="B30" s="94"/>
      <c r="C30" s="716">
        <v>380000</v>
      </c>
      <c r="D30" s="989"/>
      <c r="E30" s="989"/>
      <c r="F30" s="989"/>
      <c r="G30" s="720">
        <f t="shared" si="32"/>
        <v>380000</v>
      </c>
      <c r="H30" s="989">
        <f t="shared" si="33"/>
        <v>380000</v>
      </c>
      <c r="I30" s="720">
        <f t="shared" si="34"/>
        <v>380000</v>
      </c>
      <c r="J30" s="673"/>
      <c r="K30" s="673"/>
      <c r="L30" s="718">
        <f t="shared" si="21"/>
        <v>380000</v>
      </c>
      <c r="M30" s="732"/>
      <c r="N30" s="732"/>
      <c r="O30" s="990"/>
      <c r="P30" s="732"/>
      <c r="Q30" s="732"/>
      <c r="R30" s="732"/>
      <c r="S30" s="732"/>
      <c r="T30" s="732"/>
      <c r="U30" s="990"/>
      <c r="V30" s="990"/>
      <c r="W30" s="990"/>
      <c r="X30" s="732"/>
      <c r="Y30" s="874">
        <f t="shared" si="27"/>
        <v>0</v>
      </c>
      <c r="Z30" s="673">
        <f t="shared" si="28"/>
        <v>0</v>
      </c>
      <c r="AA30" s="718">
        <f t="shared" si="29"/>
        <v>0</v>
      </c>
      <c r="AB30" s="718">
        <f t="shared" si="30"/>
        <v>380000</v>
      </c>
      <c r="AC30" s="814">
        <f t="shared" si="31"/>
        <v>380000</v>
      </c>
    </row>
    <row r="31" spans="1:29" s="712" customFormat="1" x14ac:dyDescent="0.25">
      <c r="A31" s="309" t="s">
        <v>332</v>
      </c>
      <c r="B31" s="94"/>
      <c r="C31" s="732">
        <f>SUM(C29:C30)</f>
        <v>430000</v>
      </c>
      <c r="D31" s="990">
        <f>SUM(D29:D30)</f>
        <v>0</v>
      </c>
      <c r="E31" s="990">
        <f>SUM(E29:E30)</f>
        <v>0</v>
      </c>
      <c r="F31" s="990">
        <f>SUM(F29:F30)</f>
        <v>0</v>
      </c>
      <c r="G31" s="990">
        <f t="shared" ref="G31:AC31" si="35">SUM(G29:G30)</f>
        <v>430000</v>
      </c>
      <c r="H31" s="990">
        <f t="shared" si="35"/>
        <v>430000</v>
      </c>
      <c r="I31" s="732">
        <f t="shared" si="35"/>
        <v>430000</v>
      </c>
      <c r="J31" s="732">
        <f t="shared" si="35"/>
        <v>0</v>
      </c>
      <c r="K31" s="732">
        <f t="shared" si="35"/>
        <v>0</v>
      </c>
      <c r="L31" s="732">
        <f t="shared" si="35"/>
        <v>430000</v>
      </c>
      <c r="M31" s="732">
        <f t="shared" si="35"/>
        <v>0</v>
      </c>
      <c r="N31" s="732">
        <f t="shared" si="35"/>
        <v>0</v>
      </c>
      <c r="O31" s="990">
        <f t="shared" si="35"/>
        <v>0</v>
      </c>
      <c r="P31" s="732">
        <f t="shared" si="35"/>
        <v>0</v>
      </c>
      <c r="Q31" s="732">
        <f t="shared" si="35"/>
        <v>0</v>
      </c>
      <c r="R31" s="732">
        <f t="shared" si="35"/>
        <v>0</v>
      </c>
      <c r="S31" s="732">
        <f t="shared" si="35"/>
        <v>0</v>
      </c>
      <c r="T31" s="732">
        <f t="shared" si="35"/>
        <v>49500</v>
      </c>
      <c r="U31" s="990">
        <f t="shared" si="35"/>
        <v>0</v>
      </c>
      <c r="V31" s="990">
        <f t="shared" si="35"/>
        <v>0</v>
      </c>
      <c r="W31" s="990">
        <f t="shared" si="35"/>
        <v>0</v>
      </c>
      <c r="X31" s="732">
        <f t="shared" si="35"/>
        <v>0</v>
      </c>
      <c r="Y31" s="732">
        <f t="shared" si="35"/>
        <v>49500</v>
      </c>
      <c r="Z31" s="732">
        <f>SUM(Z29:Z30)</f>
        <v>0</v>
      </c>
      <c r="AA31" s="732">
        <f t="shared" si="35"/>
        <v>49500</v>
      </c>
      <c r="AB31" s="732">
        <f>SUM(AB29:AB30)</f>
        <v>380500</v>
      </c>
      <c r="AC31" s="732">
        <f t="shared" si="35"/>
        <v>380500</v>
      </c>
    </row>
    <row r="32" spans="1:29" s="712" customFormat="1" x14ac:dyDescent="0.25">
      <c r="A32" s="53" t="s">
        <v>1086</v>
      </c>
      <c r="B32" s="94"/>
      <c r="C32" s="732">
        <f>C26+C31</f>
        <v>433000</v>
      </c>
      <c r="D32" s="990">
        <f>D26+D31</f>
        <v>-3000</v>
      </c>
      <c r="E32" s="990">
        <f>E26+E31</f>
        <v>0</v>
      </c>
      <c r="F32" s="990">
        <f>F26+F31</f>
        <v>0</v>
      </c>
      <c r="G32" s="990">
        <f t="shared" ref="G32:X32" si="36">G26+G31</f>
        <v>430000</v>
      </c>
      <c r="H32" s="990">
        <f t="shared" si="36"/>
        <v>430000</v>
      </c>
      <c r="I32" s="732">
        <f t="shared" si="36"/>
        <v>430000</v>
      </c>
      <c r="J32" s="732">
        <f t="shared" si="36"/>
        <v>0</v>
      </c>
      <c r="K32" s="732">
        <f t="shared" si="36"/>
        <v>0</v>
      </c>
      <c r="L32" s="732">
        <f t="shared" si="36"/>
        <v>430000</v>
      </c>
      <c r="M32" s="732">
        <f t="shared" si="36"/>
        <v>0</v>
      </c>
      <c r="N32" s="732">
        <f t="shared" si="36"/>
        <v>0</v>
      </c>
      <c r="O32" s="990">
        <f t="shared" si="36"/>
        <v>0</v>
      </c>
      <c r="P32" s="732">
        <f t="shared" si="36"/>
        <v>0</v>
      </c>
      <c r="Q32" s="732">
        <f t="shared" si="36"/>
        <v>0</v>
      </c>
      <c r="R32" s="732">
        <f t="shared" si="36"/>
        <v>0</v>
      </c>
      <c r="S32" s="732">
        <f t="shared" si="36"/>
        <v>0</v>
      </c>
      <c r="T32" s="990">
        <f t="shared" si="36"/>
        <v>49500</v>
      </c>
      <c r="U32" s="990">
        <f t="shared" si="36"/>
        <v>0</v>
      </c>
      <c r="V32" s="990">
        <f t="shared" si="36"/>
        <v>0</v>
      </c>
      <c r="W32" s="990">
        <f t="shared" si="36"/>
        <v>0</v>
      </c>
      <c r="X32" s="732">
        <f t="shared" si="36"/>
        <v>0</v>
      </c>
      <c r="Y32" s="732">
        <f ca="1">Y26+Y31</f>
        <v>49500</v>
      </c>
      <c r="Z32" s="990">
        <f t="shared" ref="Z32:AC32" si="37">Z26+Z31</f>
        <v>0</v>
      </c>
      <c r="AA32" s="990">
        <f t="shared" ca="1" si="37"/>
        <v>49500</v>
      </c>
      <c r="AB32" s="990">
        <f t="shared" ca="1" si="37"/>
        <v>380500</v>
      </c>
      <c r="AC32" s="990">
        <f t="shared" ca="1" si="37"/>
        <v>380500</v>
      </c>
    </row>
    <row r="33" spans="1:29" s="1174" customFormat="1" ht="16.5" x14ac:dyDescent="0.3">
      <c r="A33" s="305" t="s">
        <v>349</v>
      </c>
      <c r="B33" s="1171"/>
      <c r="C33" s="1172">
        <f>C21+C32</f>
        <v>1078686</v>
      </c>
      <c r="D33" s="1172">
        <f>D21+D32</f>
        <v>-3000</v>
      </c>
      <c r="E33" s="1172">
        <f>E21+E32</f>
        <v>5060</v>
      </c>
      <c r="F33" s="1172">
        <f>F21+F32</f>
        <v>0</v>
      </c>
      <c r="G33" s="1173">
        <f t="shared" ref="G33:X33" si="38">G21+G32</f>
        <v>1080746</v>
      </c>
      <c r="H33" s="1173">
        <f t="shared" si="38"/>
        <v>918059.5</v>
      </c>
      <c r="I33" s="1172">
        <f t="shared" si="38"/>
        <v>484228.83333333331</v>
      </c>
      <c r="J33" s="1172">
        <f t="shared" si="38"/>
        <v>0</v>
      </c>
      <c r="K33" s="1172">
        <f t="shared" si="38"/>
        <v>0</v>
      </c>
      <c r="L33" s="1172">
        <f t="shared" si="38"/>
        <v>972288.33333333326</v>
      </c>
      <c r="M33" s="1172">
        <f t="shared" si="38"/>
        <v>18087.5</v>
      </c>
      <c r="N33" s="1172">
        <f t="shared" si="38"/>
        <v>28377.5</v>
      </c>
      <c r="O33" s="1173">
        <f t="shared" si="38"/>
        <v>49646.239999999998</v>
      </c>
      <c r="P33" s="1172">
        <f t="shared" si="38"/>
        <v>29700</v>
      </c>
      <c r="Q33" s="1172">
        <f t="shared" si="38"/>
        <v>31499</v>
      </c>
      <c r="R33" s="1172">
        <f t="shared" si="38"/>
        <v>45755</v>
      </c>
      <c r="S33" s="1172">
        <f t="shared" si="38"/>
        <v>26102.33</v>
      </c>
      <c r="T33" s="1172">
        <f t="shared" si="38"/>
        <v>91900</v>
      </c>
      <c r="U33" s="1173">
        <f t="shared" si="38"/>
        <v>52984</v>
      </c>
      <c r="V33" s="1173">
        <f t="shared" si="38"/>
        <v>36452</v>
      </c>
      <c r="W33" s="1173">
        <f t="shared" si="38"/>
        <v>0</v>
      </c>
      <c r="X33" s="1172">
        <f t="shared" si="38"/>
        <v>0</v>
      </c>
      <c r="Y33" s="1172">
        <f ca="1">Y21+Y32</f>
        <v>320858.41000000003</v>
      </c>
      <c r="Z33" s="1172">
        <f t="shared" ref="Z33:AC33" si="39">Z21+Z32</f>
        <v>36452</v>
      </c>
      <c r="AA33" s="1172">
        <f t="shared" ca="1" si="39"/>
        <v>373841.91000000003</v>
      </c>
      <c r="AB33" s="1172">
        <f t="shared" ca="1" si="39"/>
        <v>544217.59</v>
      </c>
      <c r="AC33" s="1172">
        <f t="shared" ca="1" si="39"/>
        <v>706904.09</v>
      </c>
    </row>
    <row r="34" spans="1:29" x14ac:dyDescent="0.25">
      <c r="A34" s="10"/>
      <c r="B34" s="11"/>
    </row>
    <row r="35" spans="1:29" s="951" customFormat="1" ht="20.25" customHeight="1" x14ac:dyDescent="0.25">
      <c r="A35" s="951" t="s">
        <v>354</v>
      </c>
      <c r="B35" s="30"/>
      <c r="C35" s="35"/>
      <c r="D35" s="35"/>
      <c r="E35" s="35"/>
      <c r="F35" s="35"/>
      <c r="G35" s="750"/>
      <c r="H35" s="750"/>
      <c r="I35" s="35"/>
      <c r="O35" s="708"/>
      <c r="U35" s="708"/>
      <c r="V35" s="708"/>
      <c r="W35" s="708"/>
      <c r="AB35" s="743" t="s">
        <v>357</v>
      </c>
    </row>
    <row r="36" spans="1:29" ht="20.25" customHeight="1" x14ac:dyDescent="0.25">
      <c r="B36" s="30"/>
      <c r="C36" s="35"/>
      <c r="D36" s="35"/>
      <c r="E36" s="35"/>
      <c r="F36" s="35"/>
      <c r="G36" s="750"/>
      <c r="H36" s="750"/>
      <c r="I36" s="35"/>
      <c r="AB36" s="259"/>
    </row>
    <row r="37" spans="1:29" x14ac:dyDescent="0.25">
      <c r="B37" s="32"/>
      <c r="C37" s="36"/>
      <c r="D37" s="36"/>
      <c r="E37" s="36"/>
      <c r="F37" s="36"/>
      <c r="G37" s="751"/>
      <c r="H37" s="751"/>
      <c r="I37" s="36"/>
    </row>
    <row r="38" spans="1:29" x14ac:dyDescent="0.25">
      <c r="A38" s="258" t="s">
        <v>355</v>
      </c>
      <c r="B38" s="14"/>
      <c r="C38" s="31"/>
      <c r="D38" s="31"/>
      <c r="E38" s="31"/>
      <c r="F38" s="31"/>
      <c r="G38" s="24"/>
      <c r="H38" s="24"/>
      <c r="I38" s="31"/>
      <c r="AB38" s="260" t="s">
        <v>358</v>
      </c>
    </row>
    <row r="39" spans="1:29" x14ac:dyDescent="0.25">
      <c r="A39" s="259" t="s">
        <v>356</v>
      </c>
      <c r="AB39" s="259" t="s">
        <v>359</v>
      </c>
    </row>
    <row r="40" spans="1:29" x14ac:dyDescent="0.25">
      <c r="A40" s="5"/>
      <c r="B40" s="9"/>
    </row>
    <row r="41" spans="1:29" x14ac:dyDescent="0.25">
      <c r="A41" s="3"/>
      <c r="B41" s="9"/>
    </row>
    <row r="42" spans="1:29" x14ac:dyDescent="0.25">
      <c r="A42" s="3"/>
      <c r="B42" s="9"/>
    </row>
  </sheetData>
  <mergeCells count="3">
    <mergeCell ref="A1:AC1"/>
    <mergeCell ref="A2:AC2"/>
    <mergeCell ref="A3:AC3"/>
  </mergeCells>
  <printOptions horizontalCentered="1" verticalCentered="1"/>
  <pageMargins left="0.70866141732283505" right="0.20866141699999999" top="0.74803149606299202" bottom="0.25" header="0.31496062992126" footer="0.31496062992126"/>
  <pageSetup paperSize="5" scale="6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view="pageBreakPreview" zoomScale="80" zoomScaleNormal="100" zoomScaleSheetLayoutView="80" workbookViewId="0">
      <pane xSplit="2" ySplit="11" topLeftCell="V12" activePane="bottomRight" state="frozen"/>
      <selection pane="topRight" activeCell="C1" sqref="C1"/>
      <selection pane="bottomLeft" activeCell="A12" sqref="A12"/>
      <selection pane="bottomRight" activeCell="D11" sqref="D11"/>
    </sheetView>
  </sheetViews>
  <sheetFormatPr defaultRowHeight="15" outlineLevelCol="1" x14ac:dyDescent="0.25"/>
  <cols>
    <col min="1" max="1" width="41.140625" style="21" customWidth="1"/>
    <col min="2" max="6" width="12.7109375" style="21" customWidth="1"/>
    <col min="7" max="8" width="12.7109375" style="21" hidden="1" customWidth="1"/>
    <col min="9" max="9" width="12.7109375" style="21" customWidth="1"/>
    <col min="10" max="21" width="12.7109375" style="21" hidden="1" customWidth="1" outlineLevel="1"/>
    <col min="22" max="22" width="12.7109375" style="21" customWidth="1" collapsed="1"/>
    <col min="23" max="23" width="14.140625" style="21" customWidth="1"/>
    <col min="24" max="25" width="12.7109375" style="21" customWidth="1"/>
    <col min="26" max="26" width="15.28515625" style="21" customWidth="1"/>
    <col min="27" max="16384" width="9.140625" style="21"/>
  </cols>
  <sheetData>
    <row r="1" spans="1:26" x14ac:dyDescent="0.25">
      <c r="A1" s="1432" t="s">
        <v>352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1432"/>
      <c r="M1" s="1432"/>
      <c r="N1" s="1432"/>
      <c r="O1" s="1432"/>
      <c r="P1" s="1432"/>
      <c r="Q1" s="1432"/>
      <c r="R1" s="1432"/>
      <c r="S1" s="1432"/>
      <c r="T1" s="1432"/>
      <c r="U1" s="1432"/>
      <c r="V1" s="1432"/>
      <c r="W1" s="1432"/>
      <c r="X1" s="1432"/>
    </row>
    <row r="2" spans="1:26" x14ac:dyDescent="0.25">
      <c r="A2" s="1432" t="s">
        <v>353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1432"/>
    </row>
    <row r="3" spans="1:26" ht="15.75" thickBot="1" x14ac:dyDescent="0.3">
      <c r="A3" s="1433" t="str">
        <f>'1013-HRMO'!A3:AC3</f>
        <v>For the Period October 1-31, 2021</v>
      </c>
      <c r="B3" s="1433"/>
      <c r="C3" s="1433"/>
      <c r="D3" s="1433"/>
      <c r="E3" s="1433"/>
      <c r="F3" s="1433"/>
      <c r="G3" s="1433"/>
      <c r="H3" s="1433"/>
      <c r="I3" s="1433"/>
      <c r="J3" s="1433"/>
      <c r="K3" s="1433"/>
      <c r="L3" s="1433"/>
      <c r="M3" s="1433"/>
      <c r="N3" s="1433"/>
      <c r="O3" s="1433"/>
      <c r="P3" s="1433"/>
      <c r="Q3" s="1433"/>
      <c r="R3" s="1433"/>
      <c r="S3" s="1433"/>
      <c r="T3" s="1433"/>
      <c r="U3" s="1433"/>
      <c r="V3" s="1433"/>
      <c r="W3" s="1433"/>
      <c r="X3" s="1433"/>
    </row>
    <row r="4" spans="1:26" ht="15.75" thickTop="1" x14ac:dyDescent="0.25">
      <c r="A4" s="71" t="s">
        <v>347</v>
      </c>
      <c r="B4" s="38" t="s">
        <v>2</v>
      </c>
      <c r="C4" s="38" t="s">
        <v>133</v>
      </c>
      <c r="D4" s="38" t="s">
        <v>1</v>
      </c>
      <c r="E4" s="38" t="s">
        <v>316</v>
      </c>
      <c r="F4" s="38" t="s">
        <v>314</v>
      </c>
      <c r="G4" s="108" t="s">
        <v>135</v>
      </c>
      <c r="H4" s="108"/>
      <c r="I4" s="74" t="s">
        <v>346</v>
      </c>
      <c r="J4" s="39"/>
      <c r="K4" s="39"/>
      <c r="L4" s="39"/>
      <c r="M4" s="39"/>
      <c r="N4" s="109"/>
      <c r="O4" s="109"/>
      <c r="P4" s="109"/>
      <c r="Q4" s="109"/>
      <c r="R4" s="109"/>
      <c r="S4" s="109"/>
      <c r="T4" s="109"/>
      <c r="U4" s="109"/>
      <c r="V4" s="74" t="s">
        <v>316</v>
      </c>
      <c r="W4" s="74" t="s">
        <v>348</v>
      </c>
      <c r="X4" s="41" t="s">
        <v>1</v>
      </c>
      <c r="Y4" s="41" t="s">
        <v>131</v>
      </c>
      <c r="Z4" s="41" t="s">
        <v>131</v>
      </c>
    </row>
    <row r="5" spans="1:26" ht="15.75" thickBot="1" x14ac:dyDescent="0.3">
      <c r="A5" s="96"/>
      <c r="B5" s="96" t="s">
        <v>3</v>
      </c>
      <c r="C5" s="96" t="s">
        <v>134</v>
      </c>
      <c r="D5" s="96" t="s">
        <v>314</v>
      </c>
      <c r="E5" s="96" t="s">
        <v>314</v>
      </c>
      <c r="F5" s="96" t="s">
        <v>315</v>
      </c>
      <c r="G5" s="97" t="s">
        <v>134</v>
      </c>
      <c r="H5" s="97" t="s">
        <v>136</v>
      </c>
      <c r="I5" s="75" t="s">
        <v>315</v>
      </c>
      <c r="J5" s="98" t="s">
        <v>0</v>
      </c>
      <c r="K5" s="98" t="s">
        <v>120</v>
      </c>
      <c r="L5" s="98" t="s">
        <v>121</v>
      </c>
      <c r="M5" s="98" t="s">
        <v>122</v>
      </c>
      <c r="N5" s="98" t="s">
        <v>123</v>
      </c>
      <c r="O5" s="98" t="s">
        <v>124</v>
      </c>
      <c r="P5" s="98" t="s">
        <v>125</v>
      </c>
      <c r="Q5" s="98" t="s">
        <v>126</v>
      </c>
      <c r="R5" s="98" t="s">
        <v>127</v>
      </c>
      <c r="S5" s="98" t="s">
        <v>128</v>
      </c>
      <c r="T5" s="98" t="s">
        <v>129</v>
      </c>
      <c r="U5" s="98" t="s">
        <v>130</v>
      </c>
      <c r="V5" s="75" t="s">
        <v>317</v>
      </c>
      <c r="W5" s="75" t="s">
        <v>315</v>
      </c>
      <c r="X5" s="98" t="s">
        <v>317</v>
      </c>
      <c r="Y5" s="98" t="s">
        <v>132</v>
      </c>
      <c r="Z5" s="98" t="s">
        <v>132</v>
      </c>
    </row>
    <row r="6" spans="1:26" ht="15.75" thickTop="1" x14ac:dyDescent="0.25">
      <c r="A6" s="319" t="s">
        <v>360</v>
      </c>
      <c r="B6" s="320"/>
      <c r="C6" s="320"/>
      <c r="D6" s="320"/>
      <c r="E6" s="320"/>
      <c r="F6" s="320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0"/>
    </row>
    <row r="7" spans="1:26" x14ac:dyDescent="0.25">
      <c r="A7" s="133" t="s">
        <v>161</v>
      </c>
      <c r="B7" s="115"/>
      <c r="C7" s="188"/>
      <c r="D7" s="188"/>
      <c r="E7" s="188"/>
      <c r="F7" s="188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188"/>
    </row>
    <row r="8" spans="1:26" x14ac:dyDescent="0.25">
      <c r="A8" s="115" t="s">
        <v>162</v>
      </c>
      <c r="B8" s="115"/>
      <c r="C8" s="52"/>
      <c r="D8" s="52"/>
      <c r="E8" s="52"/>
      <c r="F8" s="52"/>
      <c r="G8" s="40"/>
      <c r="H8" s="40"/>
      <c r="I8" s="109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109"/>
      <c r="Y8" s="40"/>
      <c r="Z8" s="188"/>
    </row>
    <row r="9" spans="1:26" x14ac:dyDescent="0.25">
      <c r="A9" s="49" t="s">
        <v>163</v>
      </c>
      <c r="B9" s="50" t="s">
        <v>43</v>
      </c>
      <c r="C9" s="52">
        <f>35000</f>
        <v>35000</v>
      </c>
      <c r="D9" s="52">
        <f>C9</f>
        <v>35000</v>
      </c>
      <c r="E9" s="52">
        <f>D9/12*9</f>
        <v>26250</v>
      </c>
      <c r="F9" s="52">
        <f t="shared" ref="F9:F13" si="0">D9/12</f>
        <v>2916.6666666666665</v>
      </c>
      <c r="G9" s="40"/>
      <c r="H9" s="40"/>
      <c r="I9" s="40">
        <f t="shared" ref="I9:I13" si="1">E9+F9</f>
        <v>29166.666666666668</v>
      </c>
      <c r="J9" s="40"/>
      <c r="K9" s="40"/>
      <c r="L9" s="40"/>
      <c r="M9" s="40"/>
      <c r="N9" s="40">
        <v>17200</v>
      </c>
      <c r="O9" s="40"/>
      <c r="P9" s="40"/>
      <c r="Q9" s="40"/>
      <c r="R9" s="40"/>
      <c r="S9" s="40"/>
      <c r="T9" s="40"/>
      <c r="U9" s="40"/>
      <c r="V9" s="40">
        <f>J9+K9+L9+M9+N9+O9+P9+Q9+R9</f>
        <v>17200</v>
      </c>
      <c r="W9" s="40">
        <f>Q9</f>
        <v>0</v>
      </c>
      <c r="X9" s="109">
        <f t="shared" ref="X9:X16" si="2">SUM(J9:U9)</f>
        <v>17200</v>
      </c>
      <c r="Y9" s="40">
        <f>I9-X9</f>
        <v>11966.666666666668</v>
      </c>
      <c r="Z9" s="322">
        <f>D9-X9</f>
        <v>17800</v>
      </c>
    </row>
    <row r="10" spans="1:26" x14ac:dyDescent="0.25">
      <c r="A10" s="49" t="s">
        <v>164</v>
      </c>
      <c r="B10" s="50" t="s">
        <v>140</v>
      </c>
      <c r="C10" s="52">
        <f>25000</f>
        <v>25000</v>
      </c>
      <c r="D10" s="52">
        <f t="shared" ref="D10:D13" si="3">C10</f>
        <v>25000</v>
      </c>
      <c r="E10" s="720">
        <f t="shared" ref="E10:E13" si="4">D10/12*9</f>
        <v>18750</v>
      </c>
      <c r="F10" s="52">
        <f t="shared" si="0"/>
        <v>2083.3333333333335</v>
      </c>
      <c r="G10" s="40"/>
      <c r="H10" s="40"/>
      <c r="I10" s="40">
        <f t="shared" si="1"/>
        <v>20833.333333333332</v>
      </c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989">
        <f t="shared" ref="V10:V12" si="5">J10+K10+L10+M10+N10+O10+P10+Q10</f>
        <v>0</v>
      </c>
      <c r="W10" s="989">
        <f t="shared" ref="W10:W13" si="6">Q10</f>
        <v>0</v>
      </c>
      <c r="X10" s="109">
        <f t="shared" si="2"/>
        <v>0</v>
      </c>
      <c r="Y10" s="989">
        <f t="shared" ref="Y10:Y13" si="7">I10-X10</f>
        <v>20833.333333333332</v>
      </c>
      <c r="Z10" s="996">
        <f t="shared" ref="Z10:Z13" si="8">D10-X10</f>
        <v>25000</v>
      </c>
    </row>
    <row r="11" spans="1:26" x14ac:dyDescent="0.25">
      <c r="A11" s="49" t="s">
        <v>165</v>
      </c>
      <c r="B11" s="50" t="s">
        <v>51</v>
      </c>
      <c r="C11" s="52">
        <f>50700</f>
        <v>50700</v>
      </c>
      <c r="D11" s="52">
        <f t="shared" si="3"/>
        <v>50700</v>
      </c>
      <c r="E11" s="720">
        <f t="shared" si="4"/>
        <v>38025</v>
      </c>
      <c r="F11" s="52">
        <f t="shared" si="0"/>
        <v>4225</v>
      </c>
      <c r="G11" s="40"/>
      <c r="H11" s="40"/>
      <c r="I11" s="40">
        <f t="shared" si="1"/>
        <v>42250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989">
        <f t="shared" si="5"/>
        <v>0</v>
      </c>
      <c r="W11" s="989">
        <f t="shared" si="6"/>
        <v>0</v>
      </c>
      <c r="X11" s="109">
        <f t="shared" si="2"/>
        <v>0</v>
      </c>
      <c r="Y11" s="989">
        <f t="shared" si="7"/>
        <v>42250</v>
      </c>
      <c r="Z11" s="996">
        <f t="shared" si="8"/>
        <v>50700</v>
      </c>
    </row>
    <row r="12" spans="1:26" x14ac:dyDescent="0.25">
      <c r="A12" s="1307" t="s">
        <v>915</v>
      </c>
      <c r="B12" s="116" t="s">
        <v>150</v>
      </c>
      <c r="C12" s="52">
        <f>40000</f>
        <v>40000</v>
      </c>
      <c r="D12" s="52">
        <f t="shared" si="3"/>
        <v>40000</v>
      </c>
      <c r="E12" s="720">
        <f t="shared" si="4"/>
        <v>30000</v>
      </c>
      <c r="F12" s="52">
        <f t="shared" si="0"/>
        <v>3333.3333333333335</v>
      </c>
      <c r="G12" s="40"/>
      <c r="H12" s="40"/>
      <c r="I12" s="40">
        <f t="shared" si="1"/>
        <v>33333.333333333336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989">
        <f t="shared" si="5"/>
        <v>0</v>
      </c>
      <c r="W12" s="989">
        <f t="shared" si="6"/>
        <v>0</v>
      </c>
      <c r="X12" s="109">
        <f t="shared" si="2"/>
        <v>0</v>
      </c>
      <c r="Y12" s="989">
        <f t="shared" si="7"/>
        <v>33333.333333333336</v>
      </c>
      <c r="Z12" s="996">
        <f t="shared" si="8"/>
        <v>40000</v>
      </c>
    </row>
    <row r="13" spans="1:26" x14ac:dyDescent="0.25">
      <c r="A13" s="49" t="s">
        <v>166</v>
      </c>
      <c r="B13" s="50" t="s">
        <v>62</v>
      </c>
      <c r="C13" s="52">
        <f>35000</f>
        <v>35000</v>
      </c>
      <c r="D13" s="52">
        <f t="shared" si="3"/>
        <v>35000</v>
      </c>
      <c r="E13" s="720">
        <f t="shared" si="4"/>
        <v>26250</v>
      </c>
      <c r="F13" s="52">
        <f t="shared" si="0"/>
        <v>2916.6666666666665</v>
      </c>
      <c r="G13" s="40"/>
      <c r="H13" s="40"/>
      <c r="I13" s="40">
        <f t="shared" si="1"/>
        <v>29166.666666666668</v>
      </c>
      <c r="J13" s="40"/>
      <c r="K13" s="40"/>
      <c r="L13" s="40"/>
      <c r="M13" s="40"/>
      <c r="N13" s="40"/>
      <c r="O13" s="40"/>
      <c r="P13" s="40">
        <v>14305.7</v>
      </c>
      <c r="Q13" s="40"/>
      <c r="R13" s="40">
        <v>1438.49</v>
      </c>
      <c r="S13" s="40"/>
      <c r="T13" s="40"/>
      <c r="U13" s="40"/>
      <c r="V13" s="989">
        <f>J13+K13+L13+M13+N13+O13+P13+Q13</f>
        <v>14305.7</v>
      </c>
      <c r="W13" s="989">
        <f t="shared" si="6"/>
        <v>0</v>
      </c>
      <c r="X13" s="109">
        <f t="shared" si="2"/>
        <v>15744.19</v>
      </c>
      <c r="Y13" s="989">
        <f t="shared" si="7"/>
        <v>13422.476666666667</v>
      </c>
      <c r="Z13" s="996">
        <f t="shared" si="8"/>
        <v>19255.809999999998</v>
      </c>
    </row>
    <row r="14" spans="1:26" x14ac:dyDescent="0.25">
      <c r="A14" s="133" t="s">
        <v>108</v>
      </c>
      <c r="B14" s="117"/>
      <c r="C14" s="78">
        <f>SUM(C9:C13)</f>
        <v>185700</v>
      </c>
      <c r="D14" s="726">
        <f t="shared" ref="D14:Z14" si="9">SUM(D9:D13)</f>
        <v>185700</v>
      </c>
      <c r="E14" s="726">
        <f t="shared" si="9"/>
        <v>139275</v>
      </c>
      <c r="F14" s="726">
        <f t="shared" si="9"/>
        <v>15475</v>
      </c>
      <c r="G14" s="726">
        <f t="shared" si="9"/>
        <v>0</v>
      </c>
      <c r="H14" s="726">
        <f t="shared" si="9"/>
        <v>0</v>
      </c>
      <c r="I14" s="726">
        <f t="shared" si="9"/>
        <v>154750</v>
      </c>
      <c r="J14" s="726">
        <f t="shared" si="9"/>
        <v>0</v>
      </c>
      <c r="K14" s="726">
        <f t="shared" si="9"/>
        <v>0</v>
      </c>
      <c r="L14" s="726">
        <f t="shared" si="9"/>
        <v>0</v>
      </c>
      <c r="M14" s="726">
        <f t="shared" si="9"/>
        <v>0</v>
      </c>
      <c r="N14" s="726">
        <f t="shared" si="9"/>
        <v>17200</v>
      </c>
      <c r="O14" s="726">
        <f t="shared" si="9"/>
        <v>0</v>
      </c>
      <c r="P14" s="726">
        <f t="shared" si="9"/>
        <v>14305.7</v>
      </c>
      <c r="Q14" s="726">
        <f t="shared" si="9"/>
        <v>0</v>
      </c>
      <c r="R14" s="726">
        <f t="shared" si="9"/>
        <v>1438.49</v>
      </c>
      <c r="S14" s="726">
        <f t="shared" si="9"/>
        <v>0</v>
      </c>
      <c r="T14" s="726">
        <f t="shared" si="9"/>
        <v>0</v>
      </c>
      <c r="U14" s="726">
        <f t="shared" si="9"/>
        <v>0</v>
      </c>
      <c r="V14" s="726">
        <f t="shared" si="9"/>
        <v>31505.7</v>
      </c>
      <c r="W14" s="726">
        <f t="shared" si="9"/>
        <v>0</v>
      </c>
      <c r="X14" s="726">
        <f t="shared" si="9"/>
        <v>32944.19</v>
      </c>
      <c r="Y14" s="726">
        <f t="shared" si="9"/>
        <v>121805.81000000001</v>
      </c>
      <c r="Z14" s="726">
        <f t="shared" si="9"/>
        <v>152755.81</v>
      </c>
    </row>
    <row r="15" spans="1:26" x14ac:dyDescent="0.25">
      <c r="A15" s="133" t="s">
        <v>329</v>
      </c>
      <c r="B15" s="115"/>
      <c r="C15" s="78"/>
      <c r="D15" s="78"/>
      <c r="E15" s="78"/>
      <c r="F15" s="78"/>
      <c r="G15" s="40"/>
      <c r="H15" s="40"/>
      <c r="I15" s="109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109"/>
      <c r="Y15" s="40"/>
      <c r="Z15" s="188"/>
    </row>
    <row r="16" spans="1:26" x14ac:dyDescent="0.25">
      <c r="A16" s="61" t="s">
        <v>407</v>
      </c>
      <c r="B16" s="50" t="s">
        <v>116</v>
      </c>
      <c r="C16" s="52">
        <f>20000</f>
        <v>20000</v>
      </c>
      <c r="D16" s="720">
        <f t="shared" ref="D16" si="10">C16</f>
        <v>20000</v>
      </c>
      <c r="E16" s="52">
        <f>D16</f>
        <v>20000</v>
      </c>
      <c r="F16" s="52">
        <f>D16</f>
        <v>20000</v>
      </c>
      <c r="G16" s="40"/>
      <c r="H16" s="40"/>
      <c r="I16" s="40">
        <f>D16</f>
        <v>20000</v>
      </c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989">
        <f t="shared" ref="V16" si="11">J16+K16+L16+M16+N16+O16+P16+Q16</f>
        <v>0</v>
      </c>
      <c r="W16" s="989">
        <f t="shared" ref="W16" si="12">Q16</f>
        <v>0</v>
      </c>
      <c r="X16" s="109">
        <f t="shared" si="2"/>
        <v>0</v>
      </c>
      <c r="Y16" s="989">
        <f t="shared" ref="Y16" si="13">I16-X16</f>
        <v>20000</v>
      </c>
      <c r="Z16" s="996">
        <f t="shared" ref="Z16" si="14">D16-X16</f>
        <v>20000</v>
      </c>
    </row>
    <row r="17" spans="1:27" s="745" customFormat="1" x14ac:dyDescent="0.25">
      <c r="A17" s="817" t="s">
        <v>328</v>
      </c>
      <c r="B17" s="818"/>
      <c r="C17" s="726">
        <f>SUM(C16)</f>
        <v>20000</v>
      </c>
      <c r="D17" s="726">
        <f t="shared" ref="D17:Z17" si="15">SUM(D16)</f>
        <v>20000</v>
      </c>
      <c r="E17" s="726">
        <f t="shared" si="15"/>
        <v>20000</v>
      </c>
      <c r="F17" s="726">
        <f t="shared" si="15"/>
        <v>20000</v>
      </c>
      <c r="G17" s="726">
        <f t="shared" si="15"/>
        <v>0</v>
      </c>
      <c r="H17" s="726">
        <f t="shared" si="15"/>
        <v>0</v>
      </c>
      <c r="I17" s="726">
        <f t="shared" si="15"/>
        <v>20000</v>
      </c>
      <c r="J17" s="726">
        <f t="shared" si="15"/>
        <v>0</v>
      </c>
      <c r="K17" s="726">
        <f t="shared" si="15"/>
        <v>0</v>
      </c>
      <c r="L17" s="726">
        <f t="shared" si="15"/>
        <v>0</v>
      </c>
      <c r="M17" s="726">
        <f t="shared" si="15"/>
        <v>0</v>
      </c>
      <c r="N17" s="726">
        <f t="shared" si="15"/>
        <v>0</v>
      </c>
      <c r="O17" s="726">
        <f t="shared" si="15"/>
        <v>0</v>
      </c>
      <c r="P17" s="726">
        <f t="shared" si="15"/>
        <v>0</v>
      </c>
      <c r="Q17" s="726">
        <f t="shared" si="15"/>
        <v>0</v>
      </c>
      <c r="R17" s="726">
        <f t="shared" si="15"/>
        <v>0</v>
      </c>
      <c r="S17" s="726">
        <f t="shared" si="15"/>
        <v>0</v>
      </c>
      <c r="T17" s="726">
        <f t="shared" si="15"/>
        <v>0</v>
      </c>
      <c r="U17" s="726">
        <f t="shared" si="15"/>
        <v>0</v>
      </c>
      <c r="V17" s="989">
        <f t="shared" ref="V17" si="16">J17+K17+L17+M17+N17</f>
        <v>0</v>
      </c>
      <c r="W17" s="989">
        <f t="shared" ref="W17" si="17">O17</f>
        <v>0</v>
      </c>
      <c r="X17" s="726">
        <f t="shared" si="15"/>
        <v>0</v>
      </c>
      <c r="Y17" s="726">
        <f t="shared" si="15"/>
        <v>20000</v>
      </c>
      <c r="Z17" s="726">
        <f t="shared" si="15"/>
        <v>20000</v>
      </c>
    </row>
    <row r="18" spans="1:27" s="712" customFormat="1" x14ac:dyDescent="0.25">
      <c r="A18" s="817" t="s">
        <v>320</v>
      </c>
      <c r="B18" s="135"/>
      <c r="C18" s="720"/>
      <c r="D18" s="720"/>
      <c r="E18" s="720"/>
      <c r="F18" s="720"/>
      <c r="G18" s="716"/>
      <c r="H18" s="716"/>
      <c r="I18" s="732"/>
      <c r="J18" s="716"/>
      <c r="K18" s="716"/>
      <c r="L18" s="716"/>
      <c r="M18" s="716"/>
      <c r="N18" s="716"/>
      <c r="O18" s="716"/>
      <c r="P18" s="716"/>
      <c r="Q18" s="716"/>
      <c r="R18" s="716"/>
      <c r="S18" s="716"/>
      <c r="T18" s="716"/>
      <c r="U18" s="716"/>
      <c r="V18" s="989">
        <f t="shared" ref="V18" si="18">J18+K18+L18+M18+N18+O18+P18+Q18</f>
        <v>0</v>
      </c>
      <c r="W18" s="989">
        <f t="shared" ref="W18:W19" si="19">Q18</f>
        <v>0</v>
      </c>
      <c r="X18" s="732"/>
      <c r="Y18" s="716"/>
      <c r="Z18" s="819"/>
    </row>
    <row r="19" spans="1:27" s="712" customFormat="1" x14ac:dyDescent="0.25">
      <c r="A19" s="821" t="s">
        <v>1087</v>
      </c>
      <c r="B19" s="823" t="s">
        <v>116</v>
      </c>
      <c r="C19" s="720">
        <v>14000</v>
      </c>
      <c r="D19" s="720">
        <f>SUM(C19)</f>
        <v>14000</v>
      </c>
      <c r="E19" s="720">
        <f>D19</f>
        <v>14000</v>
      </c>
      <c r="F19" s="720">
        <f>D19</f>
        <v>14000</v>
      </c>
      <c r="G19" s="716"/>
      <c r="H19" s="716"/>
      <c r="I19" s="716">
        <f>D19</f>
        <v>14000</v>
      </c>
      <c r="J19" s="716"/>
      <c r="K19" s="716"/>
      <c r="L19" s="716"/>
      <c r="M19" s="716"/>
      <c r="N19" s="716"/>
      <c r="O19" s="716"/>
      <c r="P19" s="716"/>
      <c r="Q19" s="716"/>
      <c r="R19" s="716"/>
      <c r="S19" s="716"/>
      <c r="T19" s="716"/>
      <c r="U19" s="716"/>
      <c r="V19" s="989">
        <f>J19+K19+L19+M19+N19+O19+P19+Q19</f>
        <v>0</v>
      </c>
      <c r="W19" s="989">
        <f t="shared" si="19"/>
        <v>0</v>
      </c>
      <c r="X19" s="732">
        <f>SUM(J19:U19)</f>
        <v>0</v>
      </c>
      <c r="Y19" s="989">
        <f t="shared" ref="Y19" si="20">I19-X19</f>
        <v>14000</v>
      </c>
      <c r="Z19" s="996">
        <f t="shared" ref="Z19" si="21">D19-X19</f>
        <v>14000</v>
      </c>
    </row>
    <row r="20" spans="1:27" s="712" customFormat="1" x14ac:dyDescent="0.25">
      <c r="A20" s="822" t="s">
        <v>333</v>
      </c>
      <c r="B20" s="135"/>
      <c r="C20" s="726">
        <f>SUM(C19)</f>
        <v>14000</v>
      </c>
      <c r="D20" s="726">
        <f t="shared" ref="D20:Z20" si="22">SUM(D19)</f>
        <v>14000</v>
      </c>
      <c r="E20" s="726">
        <f t="shared" si="22"/>
        <v>14000</v>
      </c>
      <c r="F20" s="726">
        <f t="shared" si="22"/>
        <v>14000</v>
      </c>
      <c r="G20" s="726">
        <f t="shared" si="22"/>
        <v>0</v>
      </c>
      <c r="H20" s="726">
        <f t="shared" si="22"/>
        <v>0</v>
      </c>
      <c r="I20" s="726">
        <f t="shared" si="22"/>
        <v>14000</v>
      </c>
      <c r="J20" s="726">
        <f t="shared" si="22"/>
        <v>0</v>
      </c>
      <c r="K20" s="726">
        <f t="shared" si="22"/>
        <v>0</v>
      </c>
      <c r="L20" s="726">
        <f t="shared" si="22"/>
        <v>0</v>
      </c>
      <c r="M20" s="726">
        <f t="shared" si="22"/>
        <v>0</v>
      </c>
      <c r="N20" s="726">
        <f t="shared" si="22"/>
        <v>0</v>
      </c>
      <c r="O20" s="726">
        <f t="shared" si="22"/>
        <v>0</v>
      </c>
      <c r="P20" s="726">
        <f t="shared" si="22"/>
        <v>0</v>
      </c>
      <c r="Q20" s="726">
        <f t="shared" si="22"/>
        <v>0</v>
      </c>
      <c r="R20" s="726">
        <f t="shared" si="22"/>
        <v>0</v>
      </c>
      <c r="S20" s="726">
        <f t="shared" si="22"/>
        <v>0</v>
      </c>
      <c r="T20" s="726">
        <f t="shared" si="22"/>
        <v>0</v>
      </c>
      <c r="U20" s="726">
        <f t="shared" si="22"/>
        <v>0</v>
      </c>
      <c r="V20" s="726">
        <f>SUM(V19)</f>
        <v>0</v>
      </c>
      <c r="W20" s="726">
        <f t="shared" si="22"/>
        <v>0</v>
      </c>
      <c r="X20" s="726">
        <f t="shared" si="22"/>
        <v>0</v>
      </c>
      <c r="Y20" s="726">
        <f t="shared" si="22"/>
        <v>14000</v>
      </c>
      <c r="Z20" s="726">
        <f t="shared" si="22"/>
        <v>14000</v>
      </c>
    </row>
    <row r="21" spans="1:27" x14ac:dyDescent="0.25">
      <c r="A21" s="133" t="s">
        <v>119</v>
      </c>
      <c r="B21" s="115"/>
      <c r="C21" s="78">
        <f>C17+C20</f>
        <v>34000</v>
      </c>
      <c r="D21" s="726">
        <f t="shared" ref="D21:Z21" si="23">D17+D20</f>
        <v>34000</v>
      </c>
      <c r="E21" s="726">
        <f t="shared" si="23"/>
        <v>34000</v>
      </c>
      <c r="F21" s="726">
        <f t="shared" si="23"/>
        <v>34000</v>
      </c>
      <c r="G21" s="726">
        <f t="shared" si="23"/>
        <v>0</v>
      </c>
      <c r="H21" s="726">
        <f t="shared" si="23"/>
        <v>0</v>
      </c>
      <c r="I21" s="726">
        <f t="shared" si="23"/>
        <v>34000</v>
      </c>
      <c r="J21" s="726">
        <f t="shared" si="23"/>
        <v>0</v>
      </c>
      <c r="K21" s="726">
        <f t="shared" si="23"/>
        <v>0</v>
      </c>
      <c r="L21" s="726">
        <f t="shared" si="23"/>
        <v>0</v>
      </c>
      <c r="M21" s="726">
        <f t="shared" si="23"/>
        <v>0</v>
      </c>
      <c r="N21" s="726">
        <f t="shared" si="23"/>
        <v>0</v>
      </c>
      <c r="O21" s="726">
        <f t="shared" si="23"/>
        <v>0</v>
      </c>
      <c r="P21" s="726">
        <f t="shared" si="23"/>
        <v>0</v>
      </c>
      <c r="Q21" s="726">
        <f t="shared" si="23"/>
        <v>0</v>
      </c>
      <c r="R21" s="726">
        <f t="shared" si="23"/>
        <v>0</v>
      </c>
      <c r="S21" s="726">
        <f t="shared" si="23"/>
        <v>0</v>
      </c>
      <c r="T21" s="726">
        <f t="shared" si="23"/>
        <v>0</v>
      </c>
      <c r="U21" s="726">
        <f t="shared" si="23"/>
        <v>0</v>
      </c>
      <c r="V21" s="726">
        <f t="shared" si="23"/>
        <v>0</v>
      </c>
      <c r="W21" s="726">
        <f>W17+W20</f>
        <v>0</v>
      </c>
      <c r="X21" s="726">
        <f t="shared" si="23"/>
        <v>0</v>
      </c>
      <c r="Y21" s="726">
        <f t="shared" si="23"/>
        <v>34000</v>
      </c>
      <c r="Z21" s="726">
        <f t="shared" si="23"/>
        <v>34000</v>
      </c>
    </row>
    <row r="22" spans="1:27" ht="15.75" thickBot="1" x14ac:dyDescent="0.3">
      <c r="A22" s="209" t="s">
        <v>160</v>
      </c>
      <c r="B22" s="323"/>
      <c r="C22" s="324">
        <f>C21+C14</f>
        <v>219700</v>
      </c>
      <c r="D22" s="324">
        <f t="shared" ref="D22:Z22" si="24">D21+D14</f>
        <v>219700</v>
      </c>
      <c r="E22" s="324">
        <f t="shared" si="24"/>
        <v>173275</v>
      </c>
      <c r="F22" s="324">
        <f t="shared" si="24"/>
        <v>49475</v>
      </c>
      <c r="G22" s="324">
        <f t="shared" si="24"/>
        <v>0</v>
      </c>
      <c r="H22" s="324">
        <f t="shared" si="24"/>
        <v>0</v>
      </c>
      <c r="I22" s="324">
        <f t="shared" si="24"/>
        <v>188750</v>
      </c>
      <c r="J22" s="324">
        <f t="shared" si="24"/>
        <v>0</v>
      </c>
      <c r="K22" s="324">
        <f t="shared" si="24"/>
        <v>0</v>
      </c>
      <c r="L22" s="324">
        <f t="shared" si="24"/>
        <v>0</v>
      </c>
      <c r="M22" s="324">
        <f t="shared" si="24"/>
        <v>0</v>
      </c>
      <c r="N22" s="324">
        <f t="shared" si="24"/>
        <v>17200</v>
      </c>
      <c r="O22" s="324">
        <f t="shared" si="24"/>
        <v>0</v>
      </c>
      <c r="P22" s="324">
        <f t="shared" si="24"/>
        <v>14305.7</v>
      </c>
      <c r="Q22" s="324">
        <f t="shared" si="24"/>
        <v>0</v>
      </c>
      <c r="R22" s="324">
        <f t="shared" si="24"/>
        <v>1438.49</v>
      </c>
      <c r="S22" s="324">
        <f t="shared" si="24"/>
        <v>0</v>
      </c>
      <c r="T22" s="324">
        <f t="shared" si="24"/>
        <v>0</v>
      </c>
      <c r="U22" s="324">
        <f t="shared" si="24"/>
        <v>0</v>
      </c>
      <c r="V22" s="324">
        <f t="shared" si="24"/>
        <v>31505.7</v>
      </c>
      <c r="W22" s="324">
        <f t="shared" si="24"/>
        <v>0</v>
      </c>
      <c r="X22" s="324">
        <f t="shared" si="24"/>
        <v>32944.19</v>
      </c>
      <c r="Y22" s="324">
        <f t="shared" si="24"/>
        <v>155805.81</v>
      </c>
      <c r="Z22" s="324">
        <f t="shared" si="24"/>
        <v>186755.81</v>
      </c>
      <c r="AA22" s="748">
        <f t="shared" ref="AA22" si="25">AA21+AA14</f>
        <v>0</v>
      </c>
    </row>
    <row r="23" spans="1:27" ht="15.75" thickTop="1" x14ac:dyDescent="0.25"/>
    <row r="26" spans="1:27" ht="20.25" customHeight="1" x14ac:dyDescent="0.25">
      <c r="A26" s="21" t="s">
        <v>354</v>
      </c>
      <c r="B26" s="30"/>
      <c r="C26" s="35"/>
      <c r="D26" s="35"/>
      <c r="E26" s="35"/>
      <c r="F26" s="35"/>
      <c r="Y26" s="259" t="s">
        <v>357</v>
      </c>
    </row>
    <row r="27" spans="1:27" s="987" customFormat="1" ht="20.25" customHeight="1" x14ac:dyDescent="0.25">
      <c r="B27" s="30"/>
      <c r="C27" s="35"/>
      <c r="D27" s="35"/>
      <c r="E27" s="35"/>
      <c r="F27" s="35"/>
      <c r="Y27" s="743"/>
    </row>
    <row r="28" spans="1:27" s="987" customFormat="1" ht="20.25" customHeight="1" x14ac:dyDescent="0.25">
      <c r="B28" s="30"/>
      <c r="C28" s="35"/>
      <c r="D28" s="35"/>
      <c r="E28" s="35"/>
      <c r="F28" s="35"/>
      <c r="Y28" s="743"/>
    </row>
    <row r="29" spans="1:27" x14ac:dyDescent="0.25">
      <c r="B29" s="32"/>
      <c r="C29" s="36"/>
      <c r="D29" s="36"/>
      <c r="E29" s="36"/>
      <c r="F29" s="36"/>
    </row>
    <row r="30" spans="1:27" x14ac:dyDescent="0.25">
      <c r="A30" s="258" t="s">
        <v>355</v>
      </c>
      <c r="B30" s="14"/>
      <c r="C30" s="31"/>
      <c r="D30" s="31"/>
      <c r="E30" s="31"/>
      <c r="F30" s="31"/>
      <c r="Y30" s="260" t="s">
        <v>358</v>
      </c>
    </row>
    <row r="31" spans="1:27" x14ac:dyDescent="0.25">
      <c r="A31" s="259" t="s">
        <v>356</v>
      </c>
      <c r="Y31" s="259" t="s">
        <v>359</v>
      </c>
    </row>
  </sheetData>
  <mergeCells count="3">
    <mergeCell ref="A1:X1"/>
    <mergeCell ref="A2:X2"/>
    <mergeCell ref="A3:X3"/>
  </mergeCells>
  <printOptions horizontalCentered="1" verticalCentered="1"/>
  <pageMargins left="1.0649606300000001" right="0.1" top="0.35433070866141703" bottom="0.25" header="0.118110236220472" footer="0.118110236220472"/>
  <pageSetup paperSize="5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view="pageBreakPreview" zoomScale="98" zoomScaleNormal="100" zoomScaleSheetLayoutView="98" workbookViewId="0">
      <pane xSplit="1" topLeftCell="V1" activePane="topRight" state="frozen"/>
      <selection pane="topRight" activeCell="AB10" sqref="AB10:AB11"/>
    </sheetView>
  </sheetViews>
  <sheetFormatPr defaultRowHeight="15" outlineLevelCol="1" x14ac:dyDescent="0.25"/>
  <cols>
    <col min="1" max="1" width="48.7109375" customWidth="1"/>
    <col min="2" max="2" width="10.42578125" customWidth="1"/>
    <col min="3" max="3" width="14.140625" customWidth="1"/>
    <col min="4" max="4" width="14.140625" style="951" customWidth="1"/>
    <col min="5" max="5" width="11.7109375" style="951" customWidth="1"/>
    <col min="6" max="6" width="14.140625" customWidth="1"/>
    <col min="7" max="7" width="12.140625" customWidth="1"/>
    <col min="8" max="8" width="14.140625" customWidth="1"/>
    <col min="9" max="9" width="16.5703125" customWidth="1"/>
    <col min="10" max="10" width="11.42578125" hidden="1" customWidth="1" outlineLevel="1"/>
    <col min="11" max="11" width="12.7109375" hidden="1" customWidth="1" outlineLevel="1"/>
    <col min="12" max="12" width="12.140625" hidden="1" customWidth="1" outlineLevel="1"/>
    <col min="13" max="13" width="12" hidden="1" customWidth="1" outlineLevel="1"/>
    <col min="14" max="14" width="14.140625" hidden="1" customWidth="1" outlineLevel="1"/>
    <col min="15" max="15" width="9.42578125" hidden="1" customWidth="1" outlineLevel="1"/>
    <col min="16" max="16" width="11.28515625" hidden="1" customWidth="1" outlineLevel="1"/>
    <col min="17" max="17" width="11.5703125" hidden="1" customWidth="1" outlineLevel="1"/>
    <col min="18" max="18" width="11.42578125" hidden="1" customWidth="1" outlineLevel="1"/>
    <col min="19" max="19" width="12.28515625" hidden="1" customWidth="1" outlineLevel="1"/>
    <col min="20" max="20" width="8.7109375" hidden="1" customWidth="1" outlineLevel="1"/>
    <col min="21" max="21" width="9.5703125" hidden="1" customWidth="1" outlineLevel="1"/>
    <col min="22" max="22" width="11.5703125" customWidth="1" collapsed="1"/>
    <col min="23" max="24" width="12.7109375" customWidth="1"/>
    <col min="25" max="25" width="14.140625" customWidth="1"/>
    <col min="26" max="26" width="15.7109375" customWidth="1"/>
  </cols>
  <sheetData>
    <row r="1" spans="1:26" x14ac:dyDescent="0.25">
      <c r="A1" s="1432" t="s">
        <v>352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1432"/>
      <c r="M1" s="1432"/>
      <c r="N1" s="1432"/>
      <c r="O1" s="1432"/>
      <c r="P1" s="1432"/>
      <c r="Q1" s="1432"/>
      <c r="R1" s="1432"/>
      <c r="S1" s="1432"/>
      <c r="T1" s="1432"/>
      <c r="U1" s="1432"/>
      <c r="V1" s="1432"/>
      <c r="W1" s="1432"/>
      <c r="X1" s="1432"/>
      <c r="Y1" s="1432"/>
      <c r="Z1" s="1432"/>
    </row>
    <row r="2" spans="1:26" x14ac:dyDescent="0.25">
      <c r="A2" s="1432" t="s">
        <v>353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1432"/>
      <c r="Y2" s="1432"/>
      <c r="Z2" s="1432"/>
    </row>
    <row r="3" spans="1:26" x14ac:dyDescent="0.25">
      <c r="A3" s="1434" t="str">
        <f>'COA-1015'!A3:X3</f>
        <v>For the Period October 1-31, 2021</v>
      </c>
      <c r="B3" s="1434"/>
      <c r="C3" s="1434"/>
      <c r="D3" s="1434"/>
      <c r="E3" s="1434"/>
      <c r="F3" s="1434"/>
      <c r="G3" s="1434"/>
      <c r="H3" s="1434"/>
      <c r="I3" s="1434"/>
      <c r="J3" s="1434"/>
      <c r="K3" s="1434"/>
      <c r="L3" s="1434"/>
      <c r="M3" s="1434"/>
      <c r="N3" s="1434"/>
      <c r="O3" s="1434"/>
      <c r="P3" s="1434"/>
      <c r="Q3" s="1434"/>
      <c r="R3" s="1434"/>
      <c r="S3" s="1434"/>
      <c r="T3" s="1434"/>
      <c r="U3" s="1434"/>
      <c r="V3" s="1434"/>
      <c r="W3" s="1434"/>
      <c r="X3" s="1434"/>
      <c r="Y3" s="1434"/>
      <c r="Z3" s="1434"/>
    </row>
    <row r="4" spans="1:26" s="21" customFormat="1" ht="26.25" x14ac:dyDescent="0.25">
      <c r="A4" s="71" t="s">
        <v>347</v>
      </c>
      <c r="B4" s="38" t="s">
        <v>2</v>
      </c>
      <c r="C4" s="38" t="s">
        <v>133</v>
      </c>
      <c r="D4" s="1073" t="s">
        <v>1204</v>
      </c>
      <c r="E4" s="38" t="s">
        <v>1238</v>
      </c>
      <c r="F4" s="38" t="s">
        <v>1</v>
      </c>
      <c r="G4" s="38" t="s">
        <v>316</v>
      </c>
      <c r="H4" s="38" t="s">
        <v>314</v>
      </c>
      <c r="I4" s="41" t="s">
        <v>346</v>
      </c>
      <c r="J4" s="39"/>
      <c r="K4" s="39"/>
      <c r="L4" s="39"/>
      <c r="M4" s="39"/>
      <c r="N4" s="109"/>
      <c r="O4" s="109"/>
      <c r="P4" s="109"/>
      <c r="Q4" s="109"/>
      <c r="R4" s="109"/>
      <c r="S4" s="109"/>
      <c r="T4" s="109"/>
      <c r="U4" s="109"/>
      <c r="V4" s="74" t="s">
        <v>316</v>
      </c>
      <c r="W4" s="74" t="s">
        <v>348</v>
      </c>
      <c r="X4" s="74" t="s">
        <v>1</v>
      </c>
      <c r="Y4" s="74" t="s">
        <v>131</v>
      </c>
      <c r="Z4" s="41" t="s">
        <v>131</v>
      </c>
    </row>
    <row r="5" spans="1:26" s="21" customFormat="1" ht="15.75" thickBot="1" x14ac:dyDescent="0.3">
      <c r="A5" s="96"/>
      <c r="B5" s="96" t="s">
        <v>3</v>
      </c>
      <c r="C5" s="96" t="s">
        <v>134</v>
      </c>
      <c r="D5" s="1146" t="s">
        <v>1329</v>
      </c>
      <c r="E5" s="96"/>
      <c r="F5" s="96" t="s">
        <v>314</v>
      </c>
      <c r="G5" s="96" t="s">
        <v>314</v>
      </c>
      <c r="H5" s="96" t="s">
        <v>315</v>
      </c>
      <c r="I5" s="98" t="s">
        <v>315</v>
      </c>
      <c r="J5" s="98" t="s">
        <v>0</v>
      </c>
      <c r="K5" s="98" t="s">
        <v>120</v>
      </c>
      <c r="L5" s="98" t="s">
        <v>121</v>
      </c>
      <c r="M5" s="98" t="s">
        <v>122</v>
      </c>
      <c r="N5" s="98" t="s">
        <v>123</v>
      </c>
      <c r="O5" s="98" t="s">
        <v>124</v>
      </c>
      <c r="P5" s="98" t="s">
        <v>125</v>
      </c>
      <c r="Q5" s="98" t="s">
        <v>126</v>
      </c>
      <c r="R5" s="98" t="s">
        <v>127</v>
      </c>
      <c r="S5" s="98" t="s">
        <v>128</v>
      </c>
      <c r="T5" s="98" t="s">
        <v>129</v>
      </c>
      <c r="U5" s="98" t="s">
        <v>130</v>
      </c>
      <c r="V5" s="75" t="s">
        <v>317</v>
      </c>
      <c r="W5" s="75" t="s">
        <v>315</v>
      </c>
      <c r="X5" s="75" t="s">
        <v>317</v>
      </c>
      <c r="Y5" s="75" t="s">
        <v>314</v>
      </c>
      <c r="Z5" s="98" t="s">
        <v>132</v>
      </c>
    </row>
    <row r="6" spans="1:26" ht="15.75" thickTop="1" x14ac:dyDescent="0.25">
      <c r="A6" s="272" t="s">
        <v>408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</row>
    <row r="7" spans="1:26" x14ac:dyDescent="0.25">
      <c r="A7" s="110" t="s">
        <v>214</v>
      </c>
      <c r="B7" s="111"/>
      <c r="C7" s="42"/>
      <c r="D7" s="717"/>
      <c r="E7" s="717"/>
      <c r="F7" s="42"/>
      <c r="G7" s="42"/>
      <c r="H7" s="42"/>
      <c r="I7" s="77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3"/>
      <c r="Z7" s="48"/>
    </row>
    <row r="8" spans="1:26" x14ac:dyDescent="0.25">
      <c r="A8" s="326" t="s">
        <v>418</v>
      </c>
      <c r="B8" s="112"/>
      <c r="C8" s="40"/>
      <c r="D8" s="989"/>
      <c r="E8" s="989"/>
      <c r="F8" s="113"/>
      <c r="G8" s="40"/>
      <c r="H8" s="113"/>
      <c r="I8" s="43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43"/>
      <c r="Y8" s="43"/>
      <c r="Z8" s="89"/>
    </row>
    <row r="9" spans="1:26" x14ac:dyDescent="0.25">
      <c r="A9" s="166" t="s">
        <v>405</v>
      </c>
      <c r="B9" s="112" t="s">
        <v>150</v>
      </c>
      <c r="C9" s="52"/>
      <c r="D9" s="720"/>
      <c r="E9" s="720"/>
      <c r="F9" s="113"/>
      <c r="G9" s="52"/>
      <c r="H9" s="113">
        <f t="shared" ref="H9:H10" si="0">F9/12</f>
        <v>0</v>
      </c>
      <c r="I9" s="43">
        <f>G9+H9</f>
        <v>0</v>
      </c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43"/>
      <c r="Y9" s="43"/>
      <c r="Z9" s="89"/>
    </row>
    <row r="10" spans="1:26" x14ac:dyDescent="0.25">
      <c r="A10" s="161" t="s">
        <v>421</v>
      </c>
      <c r="B10" s="112"/>
      <c r="C10" s="52">
        <f>31000</f>
        <v>31000</v>
      </c>
      <c r="D10" s="720"/>
      <c r="E10" s="720"/>
      <c r="F10" s="113">
        <f t="shared" ref="F10:F32" si="1">SUM(C10:E10)</f>
        <v>31000</v>
      </c>
      <c r="G10" s="52">
        <f>F10/12*9</f>
        <v>23250</v>
      </c>
      <c r="H10" s="113">
        <f t="shared" si="0"/>
        <v>2583.3333333333335</v>
      </c>
      <c r="I10" s="43">
        <f>G10+H10</f>
        <v>25833.333333333332</v>
      </c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>
        <f>J10+K10+L10+M10+N10+O10+P10+Q10+R10</f>
        <v>0</v>
      </c>
      <c r="W10" s="90">
        <f>S10</f>
        <v>0</v>
      </c>
      <c r="X10" s="43">
        <f t="shared" ref="X10" si="2">V10+W10</f>
        <v>0</v>
      </c>
      <c r="Y10" s="43">
        <f t="shared" ref="Y10:Y38" si="3">I10-X10</f>
        <v>25833.333333333332</v>
      </c>
      <c r="Z10" s="89">
        <f>F10-X10</f>
        <v>31000</v>
      </c>
    </row>
    <row r="11" spans="1:26" x14ac:dyDescent="0.25">
      <c r="A11" s="161" t="s">
        <v>420</v>
      </c>
      <c r="B11" s="112"/>
      <c r="C11" s="52">
        <f>71910</f>
        <v>71910</v>
      </c>
      <c r="D11" s="720"/>
      <c r="E11" s="720"/>
      <c r="F11" s="113">
        <f t="shared" si="1"/>
        <v>71910</v>
      </c>
      <c r="G11" s="720">
        <f t="shared" ref="G11:G32" si="4">F11/12*9</f>
        <v>53932.5</v>
      </c>
      <c r="H11" s="113">
        <f t="shared" ref="H11:H32" si="5">F11/12</f>
        <v>5992.5</v>
      </c>
      <c r="I11" s="43">
        <f t="shared" ref="I11:I32" si="6">G11+H11</f>
        <v>59925</v>
      </c>
      <c r="J11" s="90"/>
      <c r="K11" s="90"/>
      <c r="L11" s="90">
        <v>505</v>
      </c>
      <c r="M11" s="90">
        <v>1200</v>
      </c>
      <c r="N11" s="90"/>
      <c r="O11" s="90"/>
      <c r="P11" s="90"/>
      <c r="Q11" s="90"/>
      <c r="R11" s="90"/>
      <c r="S11" s="90"/>
      <c r="T11" s="90"/>
      <c r="U11" s="90"/>
      <c r="V11" s="673">
        <f t="shared" ref="V11:V32" si="7">J11+K11+L11+M11+N11+O11+P11+Q11+R11</f>
        <v>1705</v>
      </c>
      <c r="W11" s="673">
        <f t="shared" ref="W11:W32" si="8">S11</f>
        <v>0</v>
      </c>
      <c r="X11" s="43">
        <f t="shared" ref="X11:X32" si="9">V11+W11</f>
        <v>1705</v>
      </c>
      <c r="Y11" s="43">
        <f t="shared" ref="Y11:Y32" si="10">I11-X11</f>
        <v>58220</v>
      </c>
      <c r="Z11" s="89">
        <f t="shared" ref="Z11:Z32" si="11">F11-X11</f>
        <v>70205</v>
      </c>
    </row>
    <row r="12" spans="1:26" x14ac:dyDescent="0.25">
      <c r="A12" s="284" t="s">
        <v>419</v>
      </c>
      <c r="B12" s="112"/>
      <c r="C12" s="52"/>
      <c r="D12" s="720"/>
      <c r="E12" s="720"/>
      <c r="F12" s="113">
        <f t="shared" si="1"/>
        <v>0</v>
      </c>
      <c r="G12" s="720">
        <f t="shared" si="4"/>
        <v>0</v>
      </c>
      <c r="H12" s="113">
        <f t="shared" si="5"/>
        <v>0</v>
      </c>
      <c r="I12" s="43">
        <f t="shared" si="6"/>
        <v>0</v>
      </c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673">
        <f t="shared" si="7"/>
        <v>0</v>
      </c>
      <c r="W12" s="673">
        <f t="shared" si="8"/>
        <v>0</v>
      </c>
      <c r="X12" s="43">
        <f t="shared" si="9"/>
        <v>0</v>
      </c>
      <c r="Y12" s="43">
        <f t="shared" si="10"/>
        <v>0</v>
      </c>
      <c r="Z12" s="89">
        <f t="shared" si="11"/>
        <v>0</v>
      </c>
    </row>
    <row r="13" spans="1:26" x14ac:dyDescent="0.25">
      <c r="A13" s="325" t="s">
        <v>422</v>
      </c>
      <c r="B13" s="112" t="s">
        <v>158</v>
      </c>
      <c r="C13" s="52"/>
      <c r="D13" s="720"/>
      <c r="E13" s="720"/>
      <c r="F13" s="113">
        <f t="shared" si="1"/>
        <v>0</v>
      </c>
      <c r="G13" s="720">
        <f t="shared" si="4"/>
        <v>0</v>
      </c>
      <c r="H13" s="113">
        <f t="shared" si="5"/>
        <v>0</v>
      </c>
      <c r="I13" s="43">
        <f t="shared" si="6"/>
        <v>0</v>
      </c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673">
        <f t="shared" si="7"/>
        <v>0</v>
      </c>
      <c r="W13" s="673">
        <f t="shared" si="8"/>
        <v>0</v>
      </c>
      <c r="X13" s="43">
        <f t="shared" si="9"/>
        <v>0</v>
      </c>
      <c r="Y13" s="43">
        <f t="shared" si="10"/>
        <v>0</v>
      </c>
      <c r="Z13" s="89">
        <f t="shared" si="11"/>
        <v>0</v>
      </c>
    </row>
    <row r="14" spans="1:26" x14ac:dyDescent="0.25">
      <c r="A14" s="275" t="s">
        <v>423</v>
      </c>
      <c r="B14" s="112"/>
      <c r="C14" s="52"/>
      <c r="D14" s="720"/>
      <c r="E14" s="720"/>
      <c r="F14" s="113">
        <f t="shared" si="1"/>
        <v>0</v>
      </c>
      <c r="G14" s="720">
        <f t="shared" si="4"/>
        <v>0</v>
      </c>
      <c r="H14" s="113">
        <f t="shared" si="5"/>
        <v>0</v>
      </c>
      <c r="I14" s="43">
        <f t="shared" si="6"/>
        <v>0</v>
      </c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673">
        <f t="shared" si="7"/>
        <v>0</v>
      </c>
      <c r="W14" s="673">
        <f t="shared" si="8"/>
        <v>0</v>
      </c>
      <c r="X14" s="43">
        <f t="shared" si="9"/>
        <v>0</v>
      </c>
      <c r="Y14" s="43">
        <f t="shared" si="10"/>
        <v>0</v>
      </c>
      <c r="Z14" s="89">
        <f t="shared" si="11"/>
        <v>0</v>
      </c>
    </row>
    <row r="15" spans="1:26" x14ac:dyDescent="0.25">
      <c r="A15" s="275" t="s">
        <v>424</v>
      </c>
      <c r="B15" s="112"/>
      <c r="C15" s="52">
        <f>110000</f>
        <v>110000</v>
      </c>
      <c r="D15" s="720"/>
      <c r="E15" s="720"/>
      <c r="F15" s="113">
        <f t="shared" si="1"/>
        <v>110000</v>
      </c>
      <c r="G15" s="720">
        <f t="shared" si="4"/>
        <v>82500</v>
      </c>
      <c r="H15" s="113">
        <f t="shared" si="5"/>
        <v>9166.6666666666661</v>
      </c>
      <c r="I15" s="43">
        <f t="shared" si="6"/>
        <v>91666.666666666672</v>
      </c>
      <c r="J15" s="90"/>
      <c r="K15" s="90"/>
      <c r="L15" s="90"/>
      <c r="M15" s="90"/>
      <c r="N15" s="90"/>
      <c r="O15" s="90"/>
      <c r="P15" s="90"/>
      <c r="Q15" s="90"/>
      <c r="R15" s="90">
        <v>14830</v>
      </c>
      <c r="S15" s="90"/>
      <c r="T15" s="90"/>
      <c r="U15" s="90"/>
      <c r="V15" s="673">
        <f t="shared" si="7"/>
        <v>14830</v>
      </c>
      <c r="W15" s="673">
        <f t="shared" si="8"/>
        <v>0</v>
      </c>
      <c r="X15" s="43">
        <f t="shared" si="9"/>
        <v>14830</v>
      </c>
      <c r="Y15" s="43">
        <f t="shared" si="10"/>
        <v>76836.666666666672</v>
      </c>
      <c r="Z15" s="89">
        <f t="shared" si="11"/>
        <v>95170</v>
      </c>
    </row>
    <row r="16" spans="1:26" x14ac:dyDescent="0.25">
      <c r="A16" s="275" t="s">
        <v>425</v>
      </c>
      <c r="B16" s="112"/>
      <c r="C16" s="52">
        <f>156000</f>
        <v>156000</v>
      </c>
      <c r="D16" s="720"/>
      <c r="E16" s="720">
        <v>230000</v>
      </c>
      <c r="F16" s="113">
        <f t="shared" si="1"/>
        <v>386000</v>
      </c>
      <c r="G16" s="720">
        <f t="shared" si="4"/>
        <v>289500</v>
      </c>
      <c r="H16" s="113">
        <f t="shared" si="5"/>
        <v>32166.666666666668</v>
      </c>
      <c r="I16" s="43">
        <f t="shared" si="6"/>
        <v>321666.66666666669</v>
      </c>
      <c r="J16" s="90"/>
      <c r="K16" s="90">
        <v>67200</v>
      </c>
      <c r="L16" s="90">
        <v>8500</v>
      </c>
      <c r="M16" s="90">
        <v>138250</v>
      </c>
      <c r="N16" s="90">
        <v>24105</v>
      </c>
      <c r="O16" s="90"/>
      <c r="P16" s="90">
        <f>19605+5000</f>
        <v>24605</v>
      </c>
      <c r="Q16" s="90"/>
      <c r="R16" s="90"/>
      <c r="S16" s="90"/>
      <c r="T16" s="90"/>
      <c r="U16" s="90"/>
      <c r="V16" s="673">
        <f t="shared" si="7"/>
        <v>262660</v>
      </c>
      <c r="W16" s="673">
        <f t="shared" si="8"/>
        <v>0</v>
      </c>
      <c r="X16" s="43">
        <f t="shared" si="9"/>
        <v>262660</v>
      </c>
      <c r="Y16" s="43">
        <f t="shared" si="10"/>
        <v>59006.666666666686</v>
      </c>
      <c r="Z16" s="89">
        <f t="shared" si="11"/>
        <v>123340</v>
      </c>
    </row>
    <row r="17" spans="1:26" x14ac:dyDescent="0.25">
      <c r="A17" s="59" t="s">
        <v>426</v>
      </c>
      <c r="B17" s="50"/>
      <c r="C17" s="40">
        <v>0</v>
      </c>
      <c r="D17" s="989"/>
      <c r="E17" s="989"/>
      <c r="F17" s="113">
        <f t="shared" si="1"/>
        <v>0</v>
      </c>
      <c r="G17" s="720">
        <f t="shared" si="4"/>
        <v>0</v>
      </c>
      <c r="H17" s="113">
        <f t="shared" si="5"/>
        <v>0</v>
      </c>
      <c r="I17" s="43">
        <f t="shared" si="6"/>
        <v>0</v>
      </c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673">
        <f t="shared" si="7"/>
        <v>0</v>
      </c>
      <c r="W17" s="673">
        <f t="shared" si="8"/>
        <v>0</v>
      </c>
      <c r="X17" s="43">
        <f t="shared" si="9"/>
        <v>0</v>
      </c>
      <c r="Y17" s="43">
        <f t="shared" si="10"/>
        <v>0</v>
      </c>
      <c r="Z17" s="89">
        <f t="shared" si="11"/>
        <v>0</v>
      </c>
    </row>
    <row r="18" spans="1:26" x14ac:dyDescent="0.25">
      <c r="A18" s="274" t="s">
        <v>427</v>
      </c>
      <c r="B18" s="50" t="s">
        <v>76</v>
      </c>
      <c r="C18" s="40">
        <v>0</v>
      </c>
      <c r="D18" s="989"/>
      <c r="E18" s="989"/>
      <c r="F18" s="113">
        <f t="shared" si="1"/>
        <v>0</v>
      </c>
      <c r="G18" s="720">
        <f t="shared" si="4"/>
        <v>0</v>
      </c>
      <c r="H18" s="113">
        <f t="shared" si="5"/>
        <v>0</v>
      </c>
      <c r="I18" s="43">
        <f t="shared" si="6"/>
        <v>0</v>
      </c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673">
        <f t="shared" si="7"/>
        <v>0</v>
      </c>
      <c r="W18" s="673">
        <f t="shared" si="8"/>
        <v>0</v>
      </c>
      <c r="X18" s="43">
        <f t="shared" si="9"/>
        <v>0</v>
      </c>
      <c r="Y18" s="43">
        <f t="shared" si="10"/>
        <v>0</v>
      </c>
      <c r="Z18" s="89">
        <f t="shared" si="11"/>
        <v>0</v>
      </c>
    </row>
    <row r="19" spans="1:26" x14ac:dyDescent="0.25">
      <c r="A19" s="337" t="s">
        <v>1214</v>
      </c>
      <c r="B19" s="50"/>
      <c r="C19" s="108">
        <f>500000</f>
        <v>500000</v>
      </c>
      <c r="D19" s="108">
        <f>150000</f>
        <v>150000</v>
      </c>
      <c r="E19" s="108"/>
      <c r="F19" s="113">
        <f t="shared" si="1"/>
        <v>650000</v>
      </c>
      <c r="G19" s="720">
        <f t="shared" si="4"/>
        <v>487500</v>
      </c>
      <c r="H19" s="113">
        <f t="shared" si="5"/>
        <v>54166.666666666664</v>
      </c>
      <c r="I19" s="43">
        <f t="shared" si="6"/>
        <v>541666.66666666663</v>
      </c>
      <c r="J19" s="90"/>
      <c r="K19" s="90">
        <f>1400+3129.06</f>
        <v>4529.0599999999995</v>
      </c>
      <c r="L19" s="90">
        <v>16100</v>
      </c>
      <c r="M19" s="90">
        <f>6400</f>
        <v>6400</v>
      </c>
      <c r="N19" s="90">
        <f>117000+4370+4500</f>
        <v>125870</v>
      </c>
      <c r="O19" s="90">
        <v>2500</v>
      </c>
      <c r="P19" s="90">
        <v>327300</v>
      </c>
      <c r="Q19" s="90">
        <v>3300</v>
      </c>
      <c r="R19" s="90">
        <v>18200</v>
      </c>
      <c r="S19" s="90">
        <v>79226.67</v>
      </c>
      <c r="T19" s="90"/>
      <c r="U19" s="90"/>
      <c r="V19" s="673">
        <f t="shared" si="7"/>
        <v>504199.06</v>
      </c>
      <c r="W19" s="673">
        <f t="shared" si="8"/>
        <v>79226.67</v>
      </c>
      <c r="X19" s="43">
        <f t="shared" si="9"/>
        <v>583425.73</v>
      </c>
      <c r="Y19" s="43">
        <f t="shared" si="10"/>
        <v>-41759.063333333354</v>
      </c>
      <c r="Z19" s="89">
        <f t="shared" si="11"/>
        <v>66574.270000000019</v>
      </c>
    </row>
    <row r="20" spans="1:26" x14ac:dyDescent="0.25">
      <c r="A20" s="358" t="s">
        <v>428</v>
      </c>
      <c r="B20" s="50"/>
      <c r="C20" s="108"/>
      <c r="D20" s="108"/>
      <c r="E20" s="108"/>
      <c r="F20" s="113">
        <f t="shared" si="1"/>
        <v>0</v>
      </c>
      <c r="G20" s="720">
        <f t="shared" si="4"/>
        <v>0</v>
      </c>
      <c r="H20" s="113">
        <f t="shared" si="5"/>
        <v>0</v>
      </c>
      <c r="I20" s="43">
        <f t="shared" si="6"/>
        <v>0</v>
      </c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673">
        <f t="shared" si="7"/>
        <v>0</v>
      </c>
      <c r="W20" s="673">
        <f t="shared" si="8"/>
        <v>0</v>
      </c>
      <c r="X20" s="43">
        <f t="shared" si="9"/>
        <v>0</v>
      </c>
      <c r="Y20" s="43">
        <f t="shared" si="10"/>
        <v>0</v>
      </c>
      <c r="Z20" s="89">
        <f t="shared" si="11"/>
        <v>0</v>
      </c>
    </row>
    <row r="21" spans="1:26" x14ac:dyDescent="0.25">
      <c r="A21" s="347" t="s">
        <v>429</v>
      </c>
      <c r="B21" s="50"/>
      <c r="C21" s="327">
        <v>60000</v>
      </c>
      <c r="D21" s="327"/>
      <c r="E21" s="327"/>
      <c r="F21" s="113">
        <f t="shared" si="1"/>
        <v>60000</v>
      </c>
      <c r="G21" s="720">
        <f t="shared" si="4"/>
        <v>45000</v>
      </c>
      <c r="H21" s="113">
        <f t="shared" si="5"/>
        <v>5000</v>
      </c>
      <c r="I21" s="43">
        <f t="shared" si="6"/>
        <v>50000</v>
      </c>
      <c r="J21" s="90"/>
      <c r="K21" s="90"/>
      <c r="L21" s="90">
        <v>14886</v>
      </c>
      <c r="M21" s="90">
        <v>10277</v>
      </c>
      <c r="N21" s="90">
        <v>5400</v>
      </c>
      <c r="O21" s="90"/>
      <c r="P21" s="90"/>
      <c r="Q21" s="90">
        <v>2932</v>
      </c>
      <c r="R21" s="90"/>
      <c r="S21" s="90"/>
      <c r="T21" s="90"/>
      <c r="U21" s="90"/>
      <c r="V21" s="673">
        <f t="shared" si="7"/>
        <v>33495</v>
      </c>
      <c r="W21" s="673">
        <f t="shared" si="8"/>
        <v>0</v>
      </c>
      <c r="X21" s="43">
        <f t="shared" si="9"/>
        <v>33495</v>
      </c>
      <c r="Y21" s="43">
        <f t="shared" si="10"/>
        <v>16505</v>
      </c>
      <c r="Z21" s="89">
        <f t="shared" si="11"/>
        <v>26505</v>
      </c>
    </row>
    <row r="22" spans="1:26" x14ac:dyDescent="0.25">
      <c r="A22" s="347" t="s">
        <v>430</v>
      </c>
      <c r="B22" s="50"/>
      <c r="C22" s="327">
        <v>115000</v>
      </c>
      <c r="D22" s="327"/>
      <c r="E22" s="327"/>
      <c r="F22" s="113">
        <f t="shared" si="1"/>
        <v>115000</v>
      </c>
      <c r="G22" s="720">
        <f t="shared" si="4"/>
        <v>86250</v>
      </c>
      <c r="H22" s="113">
        <f t="shared" si="5"/>
        <v>9583.3333333333339</v>
      </c>
      <c r="I22" s="43">
        <f t="shared" si="6"/>
        <v>95833.333333333328</v>
      </c>
      <c r="J22" s="90"/>
      <c r="K22" s="90"/>
      <c r="L22" s="90">
        <v>28200</v>
      </c>
      <c r="M22" s="90">
        <v>3910</v>
      </c>
      <c r="N22" s="90"/>
      <c r="O22" s="90"/>
      <c r="P22" s="90"/>
      <c r="Q22" s="90">
        <v>26745</v>
      </c>
      <c r="R22" s="90"/>
      <c r="S22" s="90"/>
      <c r="T22" s="90"/>
      <c r="U22" s="90"/>
      <c r="V22" s="673">
        <f t="shared" si="7"/>
        <v>58855</v>
      </c>
      <c r="W22" s="673">
        <f t="shared" si="8"/>
        <v>0</v>
      </c>
      <c r="X22" s="43">
        <f t="shared" si="9"/>
        <v>58855</v>
      </c>
      <c r="Y22" s="43">
        <f t="shared" si="10"/>
        <v>36978.333333333328</v>
      </c>
      <c r="Z22" s="89">
        <f t="shared" si="11"/>
        <v>56145</v>
      </c>
    </row>
    <row r="23" spans="1:26" s="303" customFormat="1" x14ac:dyDescent="0.25">
      <c r="A23" s="348" t="s">
        <v>431</v>
      </c>
      <c r="B23" s="78"/>
      <c r="C23" s="327">
        <f>50000</f>
        <v>50000</v>
      </c>
      <c r="D23" s="327"/>
      <c r="E23" s="327"/>
      <c r="F23" s="113">
        <f t="shared" si="1"/>
        <v>50000</v>
      </c>
      <c r="G23" s="720">
        <f t="shared" si="4"/>
        <v>37500</v>
      </c>
      <c r="H23" s="113">
        <f t="shared" si="5"/>
        <v>4166.666666666667</v>
      </c>
      <c r="I23" s="43">
        <f t="shared" si="6"/>
        <v>41666.666666666664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673">
        <f t="shared" si="7"/>
        <v>0</v>
      </c>
      <c r="W23" s="673">
        <f t="shared" si="8"/>
        <v>0</v>
      </c>
      <c r="X23" s="43">
        <f t="shared" si="9"/>
        <v>0</v>
      </c>
      <c r="Y23" s="43">
        <f t="shared" si="10"/>
        <v>41666.666666666664</v>
      </c>
      <c r="Z23" s="89">
        <f t="shared" si="11"/>
        <v>50000</v>
      </c>
    </row>
    <row r="24" spans="1:26" s="303" customFormat="1" x14ac:dyDescent="0.25">
      <c r="A24" s="348" t="s">
        <v>432</v>
      </c>
      <c r="B24" s="52"/>
      <c r="C24" s="327">
        <f>30000</f>
        <v>30000</v>
      </c>
      <c r="D24" s="327"/>
      <c r="E24" s="327"/>
      <c r="F24" s="113">
        <f t="shared" si="1"/>
        <v>30000</v>
      </c>
      <c r="G24" s="720">
        <f t="shared" si="4"/>
        <v>22500</v>
      </c>
      <c r="H24" s="113">
        <f t="shared" si="5"/>
        <v>2500</v>
      </c>
      <c r="I24" s="43">
        <f t="shared" si="6"/>
        <v>25000</v>
      </c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673">
        <f t="shared" si="7"/>
        <v>0</v>
      </c>
      <c r="W24" s="673">
        <f t="shared" si="8"/>
        <v>0</v>
      </c>
      <c r="X24" s="43">
        <f t="shared" si="9"/>
        <v>0</v>
      </c>
      <c r="Y24" s="43">
        <f t="shared" si="10"/>
        <v>25000</v>
      </c>
      <c r="Z24" s="89">
        <f t="shared" si="11"/>
        <v>30000</v>
      </c>
    </row>
    <row r="25" spans="1:26" s="303" customFormat="1" x14ac:dyDescent="0.25">
      <c r="A25" s="275" t="s">
        <v>433</v>
      </c>
      <c r="B25" s="52" t="s">
        <v>79</v>
      </c>
      <c r="C25" s="327"/>
      <c r="D25" s="327"/>
      <c r="E25" s="327"/>
      <c r="F25" s="113">
        <f t="shared" si="1"/>
        <v>0</v>
      </c>
      <c r="G25" s="720">
        <f t="shared" si="4"/>
        <v>0</v>
      </c>
      <c r="H25" s="113">
        <f t="shared" si="5"/>
        <v>0</v>
      </c>
      <c r="I25" s="43">
        <f t="shared" si="6"/>
        <v>0</v>
      </c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673">
        <f t="shared" si="7"/>
        <v>0</v>
      </c>
      <c r="W25" s="673">
        <f t="shared" si="8"/>
        <v>0</v>
      </c>
      <c r="X25" s="43">
        <f t="shared" si="9"/>
        <v>0</v>
      </c>
      <c r="Y25" s="43">
        <f t="shared" si="10"/>
        <v>0</v>
      </c>
      <c r="Z25" s="89">
        <f t="shared" si="11"/>
        <v>0</v>
      </c>
    </row>
    <row r="26" spans="1:26" s="303" customFormat="1" x14ac:dyDescent="0.25">
      <c r="A26" s="336" t="s">
        <v>434</v>
      </c>
      <c r="B26" s="52"/>
      <c r="C26" s="52">
        <f>20000</f>
        <v>20000</v>
      </c>
      <c r="D26" s="720"/>
      <c r="E26" s="720"/>
      <c r="F26" s="113">
        <f t="shared" si="1"/>
        <v>20000</v>
      </c>
      <c r="G26" s="720">
        <f t="shared" si="4"/>
        <v>15000</v>
      </c>
      <c r="H26" s="113">
        <f t="shared" si="5"/>
        <v>1666.6666666666667</v>
      </c>
      <c r="I26" s="43">
        <f t="shared" si="6"/>
        <v>16666.666666666668</v>
      </c>
      <c r="J26" s="265"/>
      <c r="K26" s="265">
        <v>2485</v>
      </c>
      <c r="L26" s="265"/>
      <c r="M26" s="265"/>
      <c r="N26" s="265">
        <v>2030</v>
      </c>
      <c r="O26" s="265"/>
      <c r="P26" s="265">
        <v>990</v>
      </c>
      <c r="Q26" s="265">
        <v>2400</v>
      </c>
      <c r="R26" s="265">
        <v>875</v>
      </c>
      <c r="S26" s="265"/>
      <c r="T26" s="265"/>
      <c r="U26" s="265"/>
      <c r="V26" s="673">
        <f t="shared" si="7"/>
        <v>8780</v>
      </c>
      <c r="W26" s="673">
        <f t="shared" si="8"/>
        <v>0</v>
      </c>
      <c r="X26" s="43">
        <f t="shared" si="9"/>
        <v>8780</v>
      </c>
      <c r="Y26" s="43">
        <f t="shared" si="10"/>
        <v>7886.6666666666679</v>
      </c>
      <c r="Z26" s="89">
        <f t="shared" si="11"/>
        <v>11220</v>
      </c>
    </row>
    <row r="27" spans="1:26" s="303" customFormat="1" ht="26.25" x14ac:dyDescent="0.25">
      <c r="A27" s="338" t="s">
        <v>435</v>
      </c>
      <c r="B27" s="52"/>
      <c r="C27" s="327"/>
      <c r="D27" s="327"/>
      <c r="E27" s="327"/>
      <c r="F27" s="113">
        <f t="shared" si="1"/>
        <v>0</v>
      </c>
      <c r="G27" s="720">
        <f t="shared" si="4"/>
        <v>0</v>
      </c>
      <c r="H27" s="113">
        <f t="shared" si="5"/>
        <v>0</v>
      </c>
      <c r="I27" s="43">
        <f t="shared" si="6"/>
        <v>0</v>
      </c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673">
        <f t="shared" si="7"/>
        <v>0</v>
      </c>
      <c r="W27" s="673">
        <f t="shared" si="8"/>
        <v>0</v>
      </c>
      <c r="X27" s="43">
        <f t="shared" si="9"/>
        <v>0</v>
      </c>
      <c r="Y27" s="43">
        <f t="shared" si="10"/>
        <v>0</v>
      </c>
      <c r="Z27" s="89">
        <f t="shared" si="11"/>
        <v>0</v>
      </c>
    </row>
    <row r="28" spans="1:26" s="303" customFormat="1" x14ac:dyDescent="0.25">
      <c r="A28" s="281" t="s">
        <v>257</v>
      </c>
      <c r="B28" s="52" t="s">
        <v>83</v>
      </c>
      <c r="C28" s="327"/>
      <c r="D28" s="327"/>
      <c r="E28" s="327"/>
      <c r="F28" s="113">
        <f t="shared" si="1"/>
        <v>0</v>
      </c>
      <c r="G28" s="720">
        <f t="shared" si="4"/>
        <v>0</v>
      </c>
      <c r="H28" s="113">
        <f t="shared" si="5"/>
        <v>0</v>
      </c>
      <c r="I28" s="43">
        <f t="shared" si="6"/>
        <v>0</v>
      </c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673">
        <f t="shared" si="7"/>
        <v>0</v>
      </c>
      <c r="W28" s="673">
        <f t="shared" si="8"/>
        <v>0</v>
      </c>
      <c r="X28" s="43">
        <f t="shared" si="9"/>
        <v>0</v>
      </c>
      <c r="Y28" s="43">
        <f t="shared" si="10"/>
        <v>0</v>
      </c>
      <c r="Z28" s="89">
        <f t="shared" si="11"/>
        <v>0</v>
      </c>
    </row>
    <row r="29" spans="1:26" s="303" customFormat="1" x14ac:dyDescent="0.25">
      <c r="A29" s="336" t="s">
        <v>436</v>
      </c>
      <c r="B29" s="52"/>
      <c r="C29" s="327">
        <f>470000</f>
        <v>470000</v>
      </c>
      <c r="D29" s="327"/>
      <c r="E29" s="327"/>
      <c r="F29" s="113">
        <f t="shared" si="1"/>
        <v>470000</v>
      </c>
      <c r="G29" s="720">
        <f t="shared" si="4"/>
        <v>352500</v>
      </c>
      <c r="H29" s="113">
        <f t="shared" si="5"/>
        <v>39166.666666666664</v>
      </c>
      <c r="I29" s="43">
        <f t="shared" si="6"/>
        <v>391666.66666666669</v>
      </c>
      <c r="J29" s="997">
        <f>166872.28-17447.37</f>
        <v>149424.91</v>
      </c>
      <c r="K29" s="265"/>
      <c r="L29" s="265">
        <v>59640</v>
      </c>
      <c r="M29" s="265"/>
      <c r="N29" s="265"/>
      <c r="O29" s="265"/>
      <c r="P29" s="265"/>
      <c r="Q29" s="265"/>
      <c r="R29" s="265">
        <v>260935.09</v>
      </c>
      <c r="S29" s="265"/>
      <c r="T29" s="265"/>
      <c r="U29" s="265"/>
      <c r="V29" s="673">
        <f t="shared" si="7"/>
        <v>470000</v>
      </c>
      <c r="W29" s="673">
        <f t="shared" si="8"/>
        <v>0</v>
      </c>
      <c r="X29" s="43">
        <f t="shared" si="9"/>
        <v>470000</v>
      </c>
      <c r="Y29" s="43">
        <f t="shared" si="10"/>
        <v>-78333.333333333314</v>
      </c>
      <c r="Z29" s="89">
        <f t="shared" si="11"/>
        <v>0</v>
      </c>
    </row>
    <row r="30" spans="1:26" s="303" customFormat="1" x14ac:dyDescent="0.25">
      <c r="A30" s="336" t="s">
        <v>411</v>
      </c>
      <c r="B30" s="52"/>
      <c r="C30" s="327">
        <f>210000</f>
        <v>210000</v>
      </c>
      <c r="D30" s="327"/>
      <c r="E30" s="327"/>
      <c r="F30" s="113">
        <f t="shared" si="1"/>
        <v>210000</v>
      </c>
      <c r="G30" s="720">
        <f t="shared" si="4"/>
        <v>157500</v>
      </c>
      <c r="H30" s="113">
        <f t="shared" si="5"/>
        <v>17500</v>
      </c>
      <c r="I30" s="43">
        <f t="shared" si="6"/>
        <v>175000</v>
      </c>
      <c r="J30" s="265"/>
      <c r="K30" s="265">
        <v>40430.9</v>
      </c>
      <c r="L30" s="265">
        <v>82251.12</v>
      </c>
      <c r="M30" s="265">
        <v>1422.4</v>
      </c>
      <c r="N30" s="265"/>
      <c r="O30" s="265">
        <v>2794.06</v>
      </c>
      <c r="P30" s="265"/>
      <c r="Q30" s="265"/>
      <c r="R30" s="265">
        <v>46642.41</v>
      </c>
      <c r="S30" s="265"/>
      <c r="T30" s="265"/>
      <c r="U30" s="265"/>
      <c r="V30" s="673">
        <f t="shared" si="7"/>
        <v>173540.88999999998</v>
      </c>
      <c r="W30" s="673">
        <f t="shared" si="8"/>
        <v>0</v>
      </c>
      <c r="X30" s="43">
        <f t="shared" si="9"/>
        <v>173540.88999999998</v>
      </c>
      <c r="Y30" s="43">
        <f t="shared" si="10"/>
        <v>1459.1100000000151</v>
      </c>
      <c r="Z30" s="89">
        <f t="shared" si="11"/>
        <v>36459.110000000015</v>
      </c>
    </row>
    <row r="31" spans="1:26" s="303" customFormat="1" x14ac:dyDescent="0.25">
      <c r="A31" s="336" t="s">
        <v>1239</v>
      </c>
      <c r="B31" s="720"/>
      <c r="C31" s="327"/>
      <c r="D31" s="327"/>
      <c r="E31" s="327">
        <v>350000</v>
      </c>
      <c r="F31" s="113">
        <f t="shared" si="1"/>
        <v>350000</v>
      </c>
      <c r="G31" s="720">
        <f t="shared" si="4"/>
        <v>262500</v>
      </c>
      <c r="H31" s="113"/>
      <c r="I31" s="718"/>
      <c r="J31" s="997">
        <v>17447.37</v>
      </c>
      <c r="K31" s="997"/>
      <c r="L31" s="997"/>
      <c r="M31" s="997"/>
      <c r="N31" s="997"/>
      <c r="O31" s="997"/>
      <c r="P31" s="997"/>
      <c r="Q31" s="997">
        <v>332552.63</v>
      </c>
      <c r="R31" s="997"/>
      <c r="S31" s="997"/>
      <c r="T31" s="997"/>
      <c r="U31" s="997"/>
      <c r="V31" s="673">
        <f t="shared" si="7"/>
        <v>350000</v>
      </c>
      <c r="W31" s="673">
        <f t="shared" si="8"/>
        <v>0</v>
      </c>
      <c r="X31" s="718">
        <f t="shared" ref="X31" si="12">V31+W31</f>
        <v>350000</v>
      </c>
      <c r="Y31" s="718">
        <f t="shared" ref="Y31" si="13">I31-X31</f>
        <v>-350000</v>
      </c>
      <c r="Z31" s="874">
        <f t="shared" ref="Z31" si="14">F31-X31</f>
        <v>0</v>
      </c>
    </row>
    <row r="32" spans="1:26" s="303" customFormat="1" x14ac:dyDescent="0.25">
      <c r="A32" s="336" t="s">
        <v>437</v>
      </c>
      <c r="B32" s="52"/>
      <c r="C32" s="327">
        <f>2000</f>
        <v>2000</v>
      </c>
      <c r="D32" s="327"/>
      <c r="E32" s="327"/>
      <c r="F32" s="113">
        <f t="shared" si="1"/>
        <v>2000</v>
      </c>
      <c r="G32" s="720">
        <f t="shared" si="4"/>
        <v>1500</v>
      </c>
      <c r="H32" s="113">
        <f t="shared" si="5"/>
        <v>166.66666666666666</v>
      </c>
      <c r="I32" s="43">
        <f t="shared" si="6"/>
        <v>1666.6666666666667</v>
      </c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673">
        <f t="shared" si="7"/>
        <v>0</v>
      </c>
      <c r="W32" s="673">
        <f t="shared" si="8"/>
        <v>0</v>
      </c>
      <c r="X32" s="43">
        <f t="shared" si="9"/>
        <v>0</v>
      </c>
      <c r="Y32" s="43">
        <f t="shared" si="10"/>
        <v>1666.6666666666667</v>
      </c>
      <c r="Z32" s="89">
        <f t="shared" si="11"/>
        <v>2000</v>
      </c>
    </row>
    <row r="33" spans="1:26" s="339" customFormat="1" x14ac:dyDescent="0.25">
      <c r="A33" s="78" t="s">
        <v>108</v>
      </c>
      <c r="B33" s="78"/>
      <c r="C33" s="109">
        <f>SUM(C9:C32)</f>
        <v>1825910</v>
      </c>
      <c r="D33" s="990"/>
      <c r="E33" s="990">
        <f t="shared" ref="E33:F33" si="15">SUM(E9:E32)</f>
        <v>580000</v>
      </c>
      <c r="F33" s="990">
        <f t="shared" si="15"/>
        <v>2555910</v>
      </c>
      <c r="G33" s="990">
        <f t="shared" ref="G33:W33" si="16">SUM(G9:G32)</f>
        <v>1916932.5</v>
      </c>
      <c r="H33" s="990">
        <f t="shared" si="16"/>
        <v>183825.83333333334</v>
      </c>
      <c r="I33" s="990">
        <f t="shared" si="16"/>
        <v>1838258.3333333335</v>
      </c>
      <c r="J33" s="990">
        <f t="shared" si="16"/>
        <v>166872.28</v>
      </c>
      <c r="K33" s="990">
        <f t="shared" si="16"/>
        <v>114644.95999999999</v>
      </c>
      <c r="L33" s="990">
        <f t="shared" si="16"/>
        <v>210082.12</v>
      </c>
      <c r="M33" s="990">
        <f t="shared" si="16"/>
        <v>161459.4</v>
      </c>
      <c r="N33" s="990">
        <f t="shared" si="16"/>
        <v>157405</v>
      </c>
      <c r="O33" s="990">
        <f t="shared" si="16"/>
        <v>5294.0599999999995</v>
      </c>
      <c r="P33" s="990">
        <f t="shared" si="16"/>
        <v>352895</v>
      </c>
      <c r="Q33" s="990">
        <f t="shared" si="16"/>
        <v>367929.63</v>
      </c>
      <c r="R33" s="990">
        <f>SUM(R9:R32)</f>
        <v>341482.5</v>
      </c>
      <c r="S33" s="990">
        <f t="shared" si="16"/>
        <v>79226.67</v>
      </c>
      <c r="T33" s="990">
        <f t="shared" si="16"/>
        <v>0</v>
      </c>
      <c r="U33" s="990">
        <f t="shared" si="16"/>
        <v>0</v>
      </c>
      <c r="V33" s="990">
        <f t="shared" si="16"/>
        <v>1878064.95</v>
      </c>
      <c r="W33" s="990">
        <f t="shared" si="16"/>
        <v>79226.67</v>
      </c>
      <c r="X33" s="990">
        <f>SUM(X9:X32)</f>
        <v>1957291.6199999999</v>
      </c>
      <c r="Y33" s="990">
        <f>SUM(Y9:Y32)</f>
        <v>-119033.28666666661</v>
      </c>
      <c r="Z33" s="990">
        <f>SUM(Z9:Z32)</f>
        <v>598618.38</v>
      </c>
    </row>
    <row r="34" spans="1:26" s="303" customFormat="1" x14ac:dyDescent="0.25">
      <c r="A34" s="78" t="s">
        <v>184</v>
      </c>
      <c r="B34" s="333"/>
      <c r="C34" s="40"/>
      <c r="D34" s="989"/>
      <c r="E34" s="989"/>
      <c r="F34" s="40"/>
      <c r="G34" s="40"/>
      <c r="H34" s="40"/>
      <c r="I34" s="109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40">
        <f t="shared" si="3"/>
        <v>0</v>
      </c>
      <c r="Z34" s="265">
        <f>F34-X34</f>
        <v>0</v>
      </c>
    </row>
    <row r="35" spans="1:26" s="303" customFormat="1" ht="16.5" x14ac:dyDescent="0.3">
      <c r="A35" s="306" t="s">
        <v>1316</v>
      </c>
      <c r="B35" s="333"/>
      <c r="C35" s="989"/>
      <c r="D35" s="989"/>
      <c r="E35" s="989"/>
      <c r="F35" s="989"/>
      <c r="G35" s="989"/>
      <c r="H35" s="989"/>
      <c r="I35" s="990"/>
      <c r="J35" s="997"/>
      <c r="K35" s="997"/>
      <c r="L35" s="997"/>
      <c r="M35" s="997"/>
      <c r="N35" s="997"/>
      <c r="O35" s="997"/>
      <c r="P35" s="997"/>
      <c r="Q35" s="997"/>
      <c r="R35" s="997"/>
      <c r="S35" s="997"/>
      <c r="T35" s="997"/>
      <c r="U35" s="997"/>
      <c r="V35" s="673">
        <f t="shared" ref="V35:V36" si="17">J35+K35+L35+M35+N35+O35+P35+Q35+R35</f>
        <v>0</v>
      </c>
      <c r="W35" s="673">
        <f t="shared" ref="W35:W36" si="18">S35</f>
        <v>0</v>
      </c>
      <c r="X35" s="718">
        <f t="shared" ref="X35:X36" si="19">V35+W35</f>
        <v>0</v>
      </c>
      <c r="Y35" s="718">
        <f t="shared" si="3"/>
        <v>0</v>
      </c>
      <c r="Z35" s="874">
        <f t="shared" ref="Z35:Z36" si="20">F35-X35</f>
        <v>0</v>
      </c>
    </row>
    <row r="36" spans="1:26" s="303" customFormat="1" x14ac:dyDescent="0.25">
      <c r="A36" s="940" t="s">
        <v>1035</v>
      </c>
      <c r="B36" s="781"/>
      <c r="C36" s="989">
        <v>450000</v>
      </c>
      <c r="D36" s="989"/>
      <c r="E36" s="989"/>
      <c r="F36" s="113">
        <f>SUM(C36:E36)</f>
        <v>450000</v>
      </c>
      <c r="G36" s="328">
        <f>F36</f>
        <v>450000</v>
      </c>
      <c r="H36" s="989">
        <f>F36</f>
        <v>450000</v>
      </c>
      <c r="I36" s="989">
        <f>C36</f>
        <v>450000</v>
      </c>
      <c r="J36" s="997">
        <v>328640</v>
      </c>
      <c r="K36" s="997">
        <v>120800</v>
      </c>
      <c r="L36" s="997"/>
      <c r="M36" s="997"/>
      <c r="N36" s="997"/>
      <c r="O36" s="997"/>
      <c r="P36" s="997"/>
      <c r="Q36" s="997"/>
      <c r="R36" s="997"/>
      <c r="S36" s="997"/>
      <c r="T36" s="997"/>
      <c r="U36" s="997"/>
      <c r="V36" s="673">
        <f t="shared" si="17"/>
        <v>449440</v>
      </c>
      <c r="W36" s="673">
        <f t="shared" si="18"/>
        <v>0</v>
      </c>
      <c r="X36" s="718">
        <f t="shared" si="19"/>
        <v>449440</v>
      </c>
      <c r="Y36" s="718">
        <f t="shared" si="3"/>
        <v>560</v>
      </c>
      <c r="Z36" s="874">
        <f t="shared" si="20"/>
        <v>560</v>
      </c>
    </row>
    <row r="37" spans="1:26" s="303" customFormat="1" ht="16.5" x14ac:dyDescent="0.3">
      <c r="A37" s="306" t="s">
        <v>1317</v>
      </c>
      <c r="B37" s="333"/>
      <c r="C37" s="990">
        <f t="shared" ref="C37:Z37" si="21">SUM(C36:C36)</f>
        <v>450000</v>
      </c>
      <c r="D37" s="990"/>
      <c r="E37" s="990">
        <f t="shared" si="21"/>
        <v>0</v>
      </c>
      <c r="F37" s="990">
        <f t="shared" si="21"/>
        <v>450000</v>
      </c>
      <c r="G37" s="990">
        <f t="shared" si="21"/>
        <v>450000</v>
      </c>
      <c r="H37" s="990">
        <f t="shared" si="21"/>
        <v>450000</v>
      </c>
      <c r="I37" s="990">
        <f t="shared" si="21"/>
        <v>450000</v>
      </c>
      <c r="J37" s="990">
        <f t="shared" si="21"/>
        <v>328640</v>
      </c>
      <c r="K37" s="990">
        <f t="shared" si="21"/>
        <v>120800</v>
      </c>
      <c r="L37" s="990">
        <f t="shared" si="21"/>
        <v>0</v>
      </c>
      <c r="M37" s="990">
        <f t="shared" si="21"/>
        <v>0</v>
      </c>
      <c r="N37" s="990">
        <f t="shared" si="21"/>
        <v>0</v>
      </c>
      <c r="O37" s="990">
        <f t="shared" si="21"/>
        <v>0</v>
      </c>
      <c r="P37" s="990">
        <f t="shared" si="21"/>
        <v>0</v>
      </c>
      <c r="Q37" s="990">
        <f t="shared" si="21"/>
        <v>0</v>
      </c>
      <c r="R37" s="990">
        <f t="shared" si="21"/>
        <v>0</v>
      </c>
      <c r="S37" s="990">
        <f t="shared" si="21"/>
        <v>0</v>
      </c>
      <c r="T37" s="990">
        <f t="shared" si="21"/>
        <v>0</v>
      </c>
      <c r="U37" s="990">
        <f t="shared" si="21"/>
        <v>0</v>
      </c>
      <c r="V37" s="990">
        <f t="shared" si="21"/>
        <v>449440</v>
      </c>
      <c r="W37" s="990">
        <f t="shared" si="21"/>
        <v>0</v>
      </c>
      <c r="X37" s="990">
        <f t="shared" si="21"/>
        <v>449440</v>
      </c>
      <c r="Y37" s="990">
        <f t="shared" si="21"/>
        <v>560</v>
      </c>
      <c r="Z37" s="990">
        <f t="shared" si="21"/>
        <v>560</v>
      </c>
    </row>
    <row r="38" spans="1:26" s="303" customFormat="1" ht="16.5" x14ac:dyDescent="0.3">
      <c r="A38" s="306" t="s">
        <v>319</v>
      </c>
      <c r="B38" s="333"/>
      <c r="C38" s="328"/>
      <c r="D38" s="328"/>
      <c r="E38" s="328"/>
      <c r="F38" s="122"/>
      <c r="G38" s="328"/>
      <c r="H38" s="40"/>
      <c r="I38" s="40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40">
        <f t="shared" si="3"/>
        <v>0</v>
      </c>
      <c r="Z38" s="265">
        <f>F38-X38</f>
        <v>0</v>
      </c>
    </row>
    <row r="39" spans="1:26" s="303" customFormat="1" ht="16.5" x14ac:dyDescent="0.3">
      <c r="A39" s="306" t="s">
        <v>438</v>
      </c>
      <c r="B39" s="333"/>
      <c r="C39" s="328"/>
      <c r="D39" s="328"/>
      <c r="E39" s="328"/>
      <c r="F39" s="122"/>
      <c r="G39" s="328"/>
      <c r="H39" s="40"/>
      <c r="I39" s="40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40"/>
      <c r="Z39" s="265"/>
    </row>
    <row r="40" spans="1:26" s="303" customFormat="1" ht="16.5" x14ac:dyDescent="0.3">
      <c r="A40" s="340" t="s">
        <v>439</v>
      </c>
      <c r="B40" s="333" t="s">
        <v>441</v>
      </c>
      <c r="C40" s="328"/>
      <c r="D40" s="328"/>
      <c r="E40" s="328"/>
      <c r="F40" s="122"/>
      <c r="G40" s="328"/>
      <c r="H40" s="40"/>
      <c r="I40" s="40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673">
        <f t="shared" ref="V40:V48" si="22">J40+K40+L40+M40+N40+O40+P40+Q40+R40</f>
        <v>0</v>
      </c>
      <c r="W40" s="673">
        <f t="shared" ref="W40:W48" si="23">S40</f>
        <v>0</v>
      </c>
      <c r="X40" s="265"/>
      <c r="Y40" s="40"/>
      <c r="Z40" s="265"/>
    </row>
    <row r="41" spans="1:26" s="303" customFormat="1" ht="16.5" x14ac:dyDescent="0.3">
      <c r="A41" s="341" t="s">
        <v>440</v>
      </c>
      <c r="B41" s="333"/>
      <c r="C41" s="328">
        <f>40000</f>
        <v>40000</v>
      </c>
      <c r="D41" s="328"/>
      <c r="E41" s="328"/>
      <c r="F41" s="113">
        <f t="shared" ref="F41:F48" si="24">SUM(C41:E41)</f>
        <v>40000</v>
      </c>
      <c r="G41" s="328">
        <f>F41</f>
        <v>40000</v>
      </c>
      <c r="H41" s="40">
        <f>F41</f>
        <v>40000</v>
      </c>
      <c r="I41" s="40">
        <f>F41</f>
        <v>40000</v>
      </c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673">
        <f t="shared" si="22"/>
        <v>0</v>
      </c>
      <c r="W41" s="673">
        <f t="shared" si="23"/>
        <v>0</v>
      </c>
      <c r="X41" s="43">
        <f t="shared" ref="X41:X48" si="25">V41+W41</f>
        <v>0</v>
      </c>
      <c r="Y41" s="43">
        <f t="shared" ref="Y41:Y48" si="26">I41-X41</f>
        <v>40000</v>
      </c>
      <c r="Z41" s="89">
        <f t="shared" ref="Z41:Z48" si="27">F41-X41</f>
        <v>40000</v>
      </c>
    </row>
    <row r="42" spans="1:26" s="303" customFormat="1" ht="16.5" x14ac:dyDescent="0.3">
      <c r="A42" s="341" t="s">
        <v>442</v>
      </c>
      <c r="B42" s="333"/>
      <c r="C42" s="328">
        <v>45000</v>
      </c>
      <c r="D42" s="328"/>
      <c r="E42" s="328"/>
      <c r="F42" s="113">
        <f t="shared" si="24"/>
        <v>45000</v>
      </c>
      <c r="G42" s="328">
        <f t="shared" ref="G42:G48" si="28">F42</f>
        <v>45000</v>
      </c>
      <c r="H42" s="40">
        <f t="shared" ref="H42:H48" si="29">F42</f>
        <v>45000</v>
      </c>
      <c r="I42" s="40">
        <f t="shared" ref="I42:I48" si="30">F42</f>
        <v>45000</v>
      </c>
      <c r="J42" s="265"/>
      <c r="K42" s="265"/>
      <c r="L42" s="265"/>
      <c r="M42" s="265"/>
      <c r="N42" s="265"/>
      <c r="O42" s="265"/>
      <c r="P42" s="265"/>
      <c r="Q42" s="265">
        <v>44400</v>
      </c>
      <c r="R42" s="265"/>
      <c r="S42" s="265"/>
      <c r="T42" s="265"/>
      <c r="U42" s="265"/>
      <c r="V42" s="673">
        <f t="shared" si="22"/>
        <v>44400</v>
      </c>
      <c r="W42" s="673">
        <f t="shared" si="23"/>
        <v>0</v>
      </c>
      <c r="X42" s="43">
        <f t="shared" si="25"/>
        <v>44400</v>
      </c>
      <c r="Y42" s="43">
        <f t="shared" si="26"/>
        <v>600</v>
      </c>
      <c r="Z42" s="89">
        <f t="shared" si="27"/>
        <v>600</v>
      </c>
    </row>
    <row r="43" spans="1:26" s="303" customFormat="1" x14ac:dyDescent="0.25">
      <c r="A43" s="342" t="s">
        <v>443</v>
      </c>
      <c r="B43" s="333"/>
      <c r="C43" s="328">
        <f>25000</f>
        <v>25000</v>
      </c>
      <c r="D43" s="328"/>
      <c r="E43" s="328"/>
      <c r="F43" s="113">
        <f t="shared" si="24"/>
        <v>25000</v>
      </c>
      <c r="G43" s="328">
        <f t="shared" si="28"/>
        <v>25000</v>
      </c>
      <c r="H43" s="40">
        <f t="shared" si="29"/>
        <v>25000</v>
      </c>
      <c r="I43" s="40">
        <f t="shared" si="30"/>
        <v>25000</v>
      </c>
      <c r="J43" s="265"/>
      <c r="K43" s="265"/>
      <c r="L43" s="265"/>
      <c r="M43" s="265"/>
      <c r="N43" s="265"/>
      <c r="O43" s="265"/>
      <c r="P43" s="265"/>
      <c r="Q43" s="265"/>
      <c r="R43" s="265">
        <v>14500</v>
      </c>
      <c r="S43" s="265"/>
      <c r="T43" s="265"/>
      <c r="U43" s="265"/>
      <c r="V43" s="673">
        <f t="shared" si="22"/>
        <v>14500</v>
      </c>
      <c r="W43" s="673">
        <f t="shared" si="23"/>
        <v>0</v>
      </c>
      <c r="X43" s="43">
        <f t="shared" si="25"/>
        <v>14500</v>
      </c>
      <c r="Y43" s="43">
        <f t="shared" si="26"/>
        <v>10500</v>
      </c>
      <c r="Z43" s="89">
        <f t="shared" si="27"/>
        <v>10500</v>
      </c>
    </row>
    <row r="44" spans="1:26" s="303" customFormat="1" x14ac:dyDescent="0.25">
      <c r="A44" s="332" t="s">
        <v>444</v>
      </c>
      <c r="B44" s="333" t="s">
        <v>212</v>
      </c>
      <c r="C44" s="40"/>
      <c r="D44" s="989"/>
      <c r="E44" s="989"/>
      <c r="F44" s="113">
        <f t="shared" si="24"/>
        <v>0</v>
      </c>
      <c r="G44" s="328">
        <f t="shared" si="28"/>
        <v>0</v>
      </c>
      <c r="H44" s="40">
        <f t="shared" si="29"/>
        <v>0</v>
      </c>
      <c r="I44" s="40">
        <f t="shared" si="30"/>
        <v>0</v>
      </c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673">
        <f t="shared" si="22"/>
        <v>0</v>
      </c>
      <c r="W44" s="673">
        <f t="shared" si="23"/>
        <v>0</v>
      </c>
      <c r="X44" s="43">
        <f t="shared" si="25"/>
        <v>0</v>
      </c>
      <c r="Y44" s="43">
        <f t="shared" si="26"/>
        <v>0</v>
      </c>
      <c r="Z44" s="89">
        <f t="shared" si="27"/>
        <v>0</v>
      </c>
    </row>
    <row r="45" spans="1:26" s="303" customFormat="1" x14ac:dyDescent="0.25">
      <c r="A45" s="342" t="s">
        <v>445</v>
      </c>
      <c r="B45" s="147"/>
      <c r="C45" s="40">
        <f>80000</f>
        <v>80000</v>
      </c>
      <c r="D45" s="989"/>
      <c r="E45" s="989"/>
      <c r="F45" s="113">
        <f t="shared" si="24"/>
        <v>80000</v>
      </c>
      <c r="G45" s="328">
        <f t="shared" si="28"/>
        <v>80000</v>
      </c>
      <c r="H45" s="40">
        <f t="shared" si="29"/>
        <v>80000</v>
      </c>
      <c r="I45" s="40">
        <f t="shared" si="30"/>
        <v>80000</v>
      </c>
      <c r="J45" s="265"/>
      <c r="K45" s="265"/>
      <c r="L45" s="265"/>
      <c r="M45" s="265">
        <v>75900</v>
      </c>
      <c r="N45" s="265"/>
      <c r="O45" s="265"/>
      <c r="P45" s="265"/>
      <c r="Q45" s="265"/>
      <c r="R45" s="265"/>
      <c r="S45" s="265"/>
      <c r="T45" s="265"/>
      <c r="U45" s="265"/>
      <c r="V45" s="673">
        <f t="shared" si="22"/>
        <v>75900</v>
      </c>
      <c r="W45" s="673">
        <f t="shared" si="23"/>
        <v>0</v>
      </c>
      <c r="X45" s="43">
        <f t="shared" si="25"/>
        <v>75900</v>
      </c>
      <c r="Y45" s="43">
        <f t="shared" si="26"/>
        <v>4100</v>
      </c>
      <c r="Z45" s="89">
        <f t="shared" si="27"/>
        <v>4100</v>
      </c>
    </row>
    <row r="46" spans="1:26" s="303" customFormat="1" x14ac:dyDescent="0.25">
      <c r="A46" s="332" t="s">
        <v>392</v>
      </c>
      <c r="B46" s="147" t="s">
        <v>118</v>
      </c>
      <c r="C46" s="40"/>
      <c r="D46" s="989"/>
      <c r="E46" s="989"/>
      <c r="F46" s="113">
        <f t="shared" si="24"/>
        <v>0</v>
      </c>
      <c r="G46" s="328">
        <f t="shared" si="28"/>
        <v>0</v>
      </c>
      <c r="H46" s="40">
        <f t="shared" si="29"/>
        <v>0</v>
      </c>
      <c r="I46" s="40">
        <f t="shared" si="30"/>
        <v>0</v>
      </c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673">
        <f t="shared" si="22"/>
        <v>0</v>
      </c>
      <c r="W46" s="673">
        <f t="shared" si="23"/>
        <v>0</v>
      </c>
      <c r="X46" s="43">
        <f t="shared" si="25"/>
        <v>0</v>
      </c>
      <c r="Y46" s="43">
        <f t="shared" si="26"/>
        <v>0</v>
      </c>
      <c r="Z46" s="89">
        <f t="shared" si="27"/>
        <v>0</v>
      </c>
    </row>
    <row r="47" spans="1:26" s="303" customFormat="1" x14ac:dyDescent="0.25">
      <c r="A47" s="342" t="s">
        <v>446</v>
      </c>
      <c r="B47" s="147"/>
      <c r="C47" s="266">
        <f>30000</f>
        <v>30000</v>
      </c>
      <c r="D47" s="266"/>
      <c r="E47" s="266"/>
      <c r="F47" s="113">
        <f t="shared" si="24"/>
        <v>30000</v>
      </c>
      <c r="G47" s="328">
        <f t="shared" si="28"/>
        <v>30000</v>
      </c>
      <c r="H47" s="40">
        <f t="shared" si="29"/>
        <v>30000</v>
      </c>
      <c r="I47" s="40">
        <f t="shared" si="30"/>
        <v>30000</v>
      </c>
      <c r="J47" s="265">
        <f>SUM(J38:J46)</f>
        <v>0</v>
      </c>
      <c r="K47" s="265"/>
      <c r="L47" s="265"/>
      <c r="M47" s="265"/>
      <c r="N47" s="265">
        <f>SUM(N38:N46)</f>
        <v>0</v>
      </c>
      <c r="O47" s="265"/>
      <c r="P47" s="265"/>
      <c r="Q47" s="265"/>
      <c r="R47" s="265">
        <v>27500</v>
      </c>
      <c r="S47" s="265"/>
      <c r="T47" s="265"/>
      <c r="U47" s="265"/>
      <c r="V47" s="673">
        <f t="shared" si="22"/>
        <v>27500</v>
      </c>
      <c r="W47" s="673">
        <f t="shared" si="23"/>
        <v>0</v>
      </c>
      <c r="X47" s="43">
        <f t="shared" si="25"/>
        <v>27500</v>
      </c>
      <c r="Y47" s="43">
        <f t="shared" si="26"/>
        <v>2500</v>
      </c>
      <c r="Z47" s="89">
        <f t="shared" si="27"/>
        <v>2500</v>
      </c>
    </row>
    <row r="48" spans="1:26" s="303" customFormat="1" ht="16.5" x14ac:dyDescent="0.3">
      <c r="A48" s="342" t="s">
        <v>447</v>
      </c>
      <c r="B48" s="304"/>
      <c r="C48" s="266">
        <f>30000</f>
        <v>30000</v>
      </c>
      <c r="D48" s="266"/>
      <c r="E48" s="266"/>
      <c r="F48" s="113">
        <f t="shared" si="24"/>
        <v>30000</v>
      </c>
      <c r="G48" s="328">
        <f t="shared" si="28"/>
        <v>30000</v>
      </c>
      <c r="H48" s="40">
        <f t="shared" si="29"/>
        <v>30000</v>
      </c>
      <c r="I48" s="40">
        <f t="shared" si="30"/>
        <v>30000</v>
      </c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673">
        <f t="shared" si="22"/>
        <v>0</v>
      </c>
      <c r="W48" s="673">
        <f t="shared" si="23"/>
        <v>0</v>
      </c>
      <c r="X48" s="43">
        <f t="shared" si="25"/>
        <v>0</v>
      </c>
      <c r="Y48" s="43">
        <f t="shared" si="26"/>
        <v>30000</v>
      </c>
      <c r="Z48" s="89">
        <f t="shared" si="27"/>
        <v>30000</v>
      </c>
    </row>
    <row r="49" spans="1:30" s="303" customFormat="1" ht="16.5" x14ac:dyDescent="0.3">
      <c r="A49" s="306" t="s">
        <v>326</v>
      </c>
      <c r="B49" s="343"/>
      <c r="C49" s="344">
        <f>SUM(C41:C48)</f>
        <v>250000</v>
      </c>
      <c r="D49" s="344"/>
      <c r="E49" s="344">
        <f t="shared" ref="E49" si="31">SUM(E41:E48)</f>
        <v>0</v>
      </c>
      <c r="F49" s="344">
        <f t="shared" ref="F49:X49" si="32">SUM(F41:F48)</f>
        <v>250000</v>
      </c>
      <c r="G49" s="344">
        <f t="shared" si="32"/>
        <v>250000</v>
      </c>
      <c r="H49" s="344">
        <f t="shared" si="32"/>
        <v>250000</v>
      </c>
      <c r="I49" s="344">
        <f t="shared" si="32"/>
        <v>250000</v>
      </c>
      <c r="J49" s="344">
        <f t="shared" si="32"/>
        <v>0</v>
      </c>
      <c r="K49" s="344">
        <f t="shared" si="32"/>
        <v>0</v>
      </c>
      <c r="L49" s="344">
        <f t="shared" si="32"/>
        <v>0</v>
      </c>
      <c r="M49" s="344">
        <f t="shared" si="32"/>
        <v>75900</v>
      </c>
      <c r="N49" s="344">
        <f t="shared" si="32"/>
        <v>0</v>
      </c>
      <c r="O49" s="344">
        <f t="shared" si="32"/>
        <v>0</v>
      </c>
      <c r="P49" s="344">
        <f t="shared" si="32"/>
        <v>0</v>
      </c>
      <c r="Q49" s="344">
        <f t="shared" si="32"/>
        <v>44400</v>
      </c>
      <c r="R49" s="344">
        <f t="shared" si="32"/>
        <v>42000</v>
      </c>
      <c r="S49" s="344">
        <f t="shared" si="32"/>
        <v>0</v>
      </c>
      <c r="T49" s="344">
        <f t="shared" si="32"/>
        <v>0</v>
      </c>
      <c r="U49" s="344">
        <f t="shared" si="32"/>
        <v>0</v>
      </c>
      <c r="V49" s="344">
        <f t="shared" si="32"/>
        <v>162300</v>
      </c>
      <c r="W49" s="344">
        <f t="shared" si="32"/>
        <v>0</v>
      </c>
      <c r="X49" s="344">
        <f t="shared" si="32"/>
        <v>162300</v>
      </c>
      <c r="Y49" s="344">
        <f>SUM(Y41:Y48)</f>
        <v>87700</v>
      </c>
      <c r="Z49" s="344">
        <f>SUM(Z41:Z48)</f>
        <v>87700</v>
      </c>
    </row>
    <row r="50" spans="1:30" s="303" customFormat="1" ht="16.5" x14ac:dyDescent="0.3">
      <c r="A50" s="306" t="s">
        <v>1318</v>
      </c>
      <c r="B50" s="343"/>
      <c r="C50" s="344">
        <f t="shared" ref="C50:Z50" si="33">C37+C49</f>
        <v>700000</v>
      </c>
      <c r="D50" s="344"/>
      <c r="E50" s="344">
        <f t="shared" ref="E50" si="34">E37+E49</f>
        <v>0</v>
      </c>
      <c r="F50" s="344">
        <f t="shared" si="33"/>
        <v>700000</v>
      </c>
      <c r="G50" s="344">
        <f t="shared" si="33"/>
        <v>700000</v>
      </c>
      <c r="H50" s="344">
        <f t="shared" si="33"/>
        <v>700000</v>
      </c>
      <c r="I50" s="344">
        <f t="shared" si="33"/>
        <v>700000</v>
      </c>
      <c r="J50" s="344">
        <f t="shared" si="33"/>
        <v>328640</v>
      </c>
      <c r="K50" s="344">
        <f t="shared" si="33"/>
        <v>120800</v>
      </c>
      <c r="L50" s="344">
        <f t="shared" si="33"/>
        <v>0</v>
      </c>
      <c r="M50" s="344">
        <f t="shared" si="33"/>
        <v>75900</v>
      </c>
      <c r="N50" s="344">
        <f t="shared" si="33"/>
        <v>0</v>
      </c>
      <c r="O50" s="344">
        <f t="shared" si="33"/>
        <v>0</v>
      </c>
      <c r="P50" s="344">
        <f t="shared" si="33"/>
        <v>0</v>
      </c>
      <c r="Q50" s="344">
        <f t="shared" si="33"/>
        <v>44400</v>
      </c>
      <c r="R50" s="344">
        <f t="shared" si="33"/>
        <v>42000</v>
      </c>
      <c r="S50" s="344">
        <f t="shared" si="33"/>
        <v>0</v>
      </c>
      <c r="T50" s="344">
        <f t="shared" si="33"/>
        <v>0</v>
      </c>
      <c r="U50" s="344">
        <f t="shared" si="33"/>
        <v>0</v>
      </c>
      <c r="V50" s="344">
        <f t="shared" si="33"/>
        <v>611740</v>
      </c>
      <c r="W50" s="344">
        <f t="shared" si="33"/>
        <v>0</v>
      </c>
      <c r="X50" s="344">
        <f t="shared" si="33"/>
        <v>611740</v>
      </c>
      <c r="Y50" s="344">
        <f t="shared" si="33"/>
        <v>88260</v>
      </c>
      <c r="Z50" s="306">
        <f t="shared" si="33"/>
        <v>88260</v>
      </c>
      <c r="AA50" s="1188"/>
      <c r="AB50" s="1188"/>
      <c r="AC50" s="1188"/>
      <c r="AD50" s="1188"/>
    </row>
    <row r="51" spans="1:30" s="303" customFormat="1" ht="17.25" thickBot="1" x14ac:dyDescent="0.35">
      <c r="A51" s="306" t="s">
        <v>448</v>
      </c>
      <c r="B51" s="334"/>
      <c r="C51" s="331">
        <f t="shared" ref="C51:Y51" si="35">C33+C49</f>
        <v>2075910</v>
      </c>
      <c r="D51" s="331"/>
      <c r="E51" s="331">
        <f t="shared" ref="E51" si="36">E33+E49</f>
        <v>580000</v>
      </c>
      <c r="F51" s="331">
        <f t="shared" si="35"/>
        <v>2805910</v>
      </c>
      <c r="G51" s="331">
        <f t="shared" si="35"/>
        <v>2166932.5</v>
      </c>
      <c r="H51" s="331">
        <f t="shared" si="35"/>
        <v>433825.83333333337</v>
      </c>
      <c r="I51" s="331">
        <f t="shared" si="35"/>
        <v>2088258.3333333335</v>
      </c>
      <c r="J51" s="331">
        <f t="shared" si="35"/>
        <v>166872.28</v>
      </c>
      <c r="K51" s="331">
        <f t="shared" si="35"/>
        <v>114644.95999999999</v>
      </c>
      <c r="L51" s="331">
        <f t="shared" si="35"/>
        <v>210082.12</v>
      </c>
      <c r="M51" s="331">
        <f t="shared" si="35"/>
        <v>237359.4</v>
      </c>
      <c r="N51" s="331">
        <f t="shared" si="35"/>
        <v>157405</v>
      </c>
      <c r="O51" s="331">
        <f t="shared" si="35"/>
        <v>5294.0599999999995</v>
      </c>
      <c r="P51" s="331">
        <f t="shared" si="35"/>
        <v>352895</v>
      </c>
      <c r="Q51" s="331">
        <f t="shared" si="35"/>
        <v>412329.63</v>
      </c>
      <c r="R51" s="331">
        <f t="shared" si="35"/>
        <v>383482.5</v>
      </c>
      <c r="S51" s="331">
        <f t="shared" si="35"/>
        <v>79226.67</v>
      </c>
      <c r="T51" s="331">
        <f t="shared" si="35"/>
        <v>0</v>
      </c>
      <c r="U51" s="331">
        <f t="shared" si="35"/>
        <v>0</v>
      </c>
      <c r="V51" s="331">
        <f t="shared" si="35"/>
        <v>2040364.95</v>
      </c>
      <c r="W51" s="331">
        <f t="shared" si="35"/>
        <v>79226.67</v>
      </c>
      <c r="X51" s="331">
        <f t="shared" si="35"/>
        <v>2119591.62</v>
      </c>
      <c r="Y51" s="331">
        <f t="shared" si="35"/>
        <v>-31333.286666666609</v>
      </c>
      <c r="Z51" s="331">
        <f>Z33+Z49</f>
        <v>686318.38</v>
      </c>
    </row>
    <row r="52" spans="1:30" s="2" customFormat="1" ht="20.25" customHeight="1" thickTop="1" x14ac:dyDescent="0.25">
      <c r="A52" s="951" t="s">
        <v>354</v>
      </c>
      <c r="B52" s="23"/>
      <c r="C52" s="282"/>
      <c r="D52" s="750"/>
      <c r="E52" s="750"/>
      <c r="F52" s="282"/>
      <c r="G52" s="282"/>
      <c r="H52" s="282"/>
      <c r="Y52" s="335" t="s">
        <v>357</v>
      </c>
    </row>
    <row r="53" spans="1:30" x14ac:dyDescent="0.25">
      <c r="B53" s="32"/>
      <c r="C53" s="36"/>
      <c r="D53" s="36"/>
      <c r="E53" s="36"/>
      <c r="F53" s="36"/>
      <c r="G53" s="36"/>
      <c r="H53" s="36"/>
    </row>
    <row r="54" spans="1:30" x14ac:dyDescent="0.25">
      <c r="B54" s="14"/>
      <c r="C54" s="31"/>
      <c r="D54" s="31"/>
      <c r="E54" s="31"/>
      <c r="F54" s="31"/>
      <c r="G54" s="31"/>
      <c r="H54" s="31"/>
      <c r="Y54" s="260"/>
    </row>
    <row r="55" spans="1:30" x14ac:dyDescent="0.25">
      <c r="A55" s="742" t="s">
        <v>355</v>
      </c>
      <c r="Y55" s="744" t="s">
        <v>358</v>
      </c>
    </row>
    <row r="56" spans="1:30" x14ac:dyDescent="0.25">
      <c r="A56" s="743" t="s">
        <v>356</v>
      </c>
      <c r="Y56" s="743" t="s">
        <v>359</v>
      </c>
    </row>
    <row r="57" spans="1:30" x14ac:dyDescent="0.25">
      <c r="A57" s="259"/>
    </row>
  </sheetData>
  <mergeCells count="3">
    <mergeCell ref="A3:Z3"/>
    <mergeCell ref="A2:Z2"/>
    <mergeCell ref="A1:Z1"/>
  </mergeCells>
  <printOptions horizontalCentered="1" verticalCentered="1"/>
  <pageMargins left="0.75" right="0.25" top="0.35433070900000002" bottom="0.25" header="0.25" footer="0.25"/>
  <pageSetup paperSize="5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view="pageBreakPreview" topLeftCell="A22" zoomScale="96" zoomScaleNormal="100" zoomScaleSheetLayoutView="96" workbookViewId="0">
      <pane xSplit="1" topLeftCell="B1" activePane="topRight" state="frozen"/>
      <selection pane="topRight" activeCell="T29" sqref="T29"/>
    </sheetView>
  </sheetViews>
  <sheetFormatPr defaultRowHeight="15" outlineLevelCol="1" x14ac:dyDescent="0.25"/>
  <cols>
    <col min="1" max="1" width="48.7109375" style="21" customWidth="1"/>
    <col min="2" max="2" width="12" style="21" customWidth="1"/>
    <col min="3" max="3" width="14.140625" style="21" customWidth="1"/>
    <col min="4" max="4" width="12.140625" style="987" customWidth="1"/>
    <col min="5" max="5" width="12.7109375" style="987" customWidth="1"/>
    <col min="6" max="6" width="12.5703125" style="987" customWidth="1"/>
    <col min="7" max="7" width="13" style="1025" customWidth="1"/>
    <col min="8" max="8" width="14.140625" style="21" customWidth="1"/>
    <col min="9" max="9" width="13.140625" style="21" customWidth="1"/>
    <col min="10" max="10" width="14.140625" style="21" customWidth="1"/>
    <col min="11" max="11" width="13.7109375" style="21" hidden="1" customWidth="1"/>
    <col min="12" max="12" width="12.28515625" style="21" hidden="1" customWidth="1"/>
    <col min="13" max="13" width="14.28515625" style="21" customWidth="1"/>
    <col min="14" max="14" width="14.85546875" style="21" hidden="1" customWidth="1" outlineLevel="1"/>
    <col min="15" max="15" width="15.140625" style="21" hidden="1" customWidth="1" outlineLevel="1"/>
    <col min="16" max="16" width="15" style="21" hidden="1" customWidth="1" outlineLevel="1"/>
    <col min="17" max="17" width="16.42578125" style="21" hidden="1" customWidth="1" outlineLevel="1"/>
    <col min="18" max="18" width="16.85546875" style="21" hidden="1" customWidth="1" outlineLevel="1"/>
    <col min="19" max="19" width="18.28515625" style="21" hidden="1" customWidth="1" outlineLevel="1"/>
    <col min="20" max="20" width="12.42578125" style="21" hidden="1" customWidth="1" outlineLevel="1"/>
    <col min="21" max="21" width="11.42578125" style="21" hidden="1" customWidth="1" outlineLevel="1"/>
    <col min="22" max="22" width="12.5703125" style="21" hidden="1" customWidth="1" outlineLevel="1"/>
    <col min="23" max="23" width="11.7109375" style="21" hidden="1" customWidth="1" outlineLevel="1"/>
    <col min="24" max="24" width="8.7109375" style="21" hidden="1" customWidth="1" outlineLevel="1"/>
    <col min="25" max="25" width="9.5703125" style="21" hidden="1" customWidth="1" outlineLevel="1"/>
    <col min="26" max="26" width="13.140625" style="21" customWidth="1" collapsed="1"/>
    <col min="27" max="27" width="12.7109375" style="21" customWidth="1"/>
    <col min="28" max="28" width="13.7109375" style="21" customWidth="1"/>
    <col min="29" max="29" width="14.140625" style="21" customWidth="1"/>
    <col min="30" max="30" width="14.42578125" style="21" customWidth="1"/>
    <col min="31" max="16384" width="9.140625" style="21"/>
  </cols>
  <sheetData>
    <row r="1" spans="1:30" x14ac:dyDescent="0.25">
      <c r="A1" s="1432" t="s">
        <v>352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1432"/>
      <c r="M1" s="1432"/>
      <c r="N1" s="1432"/>
      <c r="O1" s="1432"/>
      <c r="P1" s="1432"/>
      <c r="Q1" s="1432"/>
      <c r="R1" s="1432"/>
      <c r="S1" s="1432"/>
      <c r="T1" s="1432"/>
      <c r="U1" s="1432"/>
      <c r="V1" s="1432"/>
      <c r="W1" s="1432"/>
      <c r="X1" s="1432"/>
      <c r="Y1" s="1432"/>
      <c r="Z1" s="1432"/>
      <c r="AA1" s="1432"/>
      <c r="AB1" s="1432"/>
      <c r="AC1" s="1432"/>
      <c r="AD1" s="1432"/>
    </row>
    <row r="2" spans="1:30" x14ac:dyDescent="0.25">
      <c r="A2" s="1432" t="s">
        <v>353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1432"/>
      <c r="Y2" s="1432"/>
      <c r="Z2" s="1432"/>
      <c r="AA2" s="1432"/>
      <c r="AB2" s="1432"/>
      <c r="AC2" s="1432"/>
      <c r="AD2" s="1432"/>
    </row>
    <row r="3" spans="1:30" x14ac:dyDescent="0.25">
      <c r="A3" s="1434" t="str">
        <f>'MA (2A)'!A3:X3</f>
        <v>For the Period October 1-31, 2021</v>
      </c>
      <c r="B3" s="1434"/>
      <c r="C3" s="1434"/>
      <c r="D3" s="1434"/>
      <c r="E3" s="1434"/>
      <c r="F3" s="1434"/>
      <c r="G3" s="1434"/>
      <c r="H3" s="1434"/>
      <c r="I3" s="1434"/>
      <c r="J3" s="1434"/>
      <c r="K3" s="1434"/>
      <c r="L3" s="1434"/>
      <c r="M3" s="1434"/>
      <c r="N3" s="1434"/>
      <c r="O3" s="1434"/>
      <c r="P3" s="1434"/>
      <c r="Q3" s="1434"/>
      <c r="R3" s="1434"/>
      <c r="S3" s="1434"/>
      <c r="T3" s="1434"/>
      <c r="U3" s="1434"/>
      <c r="V3" s="1434"/>
      <c r="W3" s="1434"/>
      <c r="X3" s="1434"/>
      <c r="Y3" s="1434"/>
      <c r="Z3" s="1434"/>
      <c r="AA3" s="1434"/>
      <c r="AB3" s="1434"/>
      <c r="AC3" s="1434"/>
      <c r="AD3" s="1434"/>
    </row>
    <row r="4" spans="1:30" ht="26.25" x14ac:dyDescent="0.25">
      <c r="A4" s="71" t="s">
        <v>347</v>
      </c>
      <c r="B4" s="71" t="s">
        <v>2</v>
      </c>
      <c r="C4" s="71" t="s">
        <v>133</v>
      </c>
      <c r="D4" s="1073" t="s">
        <v>1204</v>
      </c>
      <c r="E4" s="71" t="s">
        <v>1337</v>
      </c>
      <c r="F4" s="1073" t="s">
        <v>1204</v>
      </c>
      <c r="G4" s="1073" t="s">
        <v>1204</v>
      </c>
      <c r="H4" s="38" t="s">
        <v>1</v>
      </c>
      <c r="I4" s="38" t="s">
        <v>316</v>
      </c>
      <c r="J4" s="38" t="s">
        <v>314</v>
      </c>
      <c r="K4" s="108" t="s">
        <v>135</v>
      </c>
      <c r="L4" s="108"/>
      <c r="M4" s="41" t="s">
        <v>346</v>
      </c>
      <c r="N4" s="39"/>
      <c r="O4" s="39"/>
      <c r="P4" s="39"/>
      <c r="Q4" s="39"/>
      <c r="R4" s="109"/>
      <c r="S4" s="109"/>
      <c r="T4" s="109"/>
      <c r="U4" s="109"/>
      <c r="V4" s="109"/>
      <c r="W4" s="109"/>
      <c r="X4" s="109"/>
      <c r="Y4" s="109"/>
      <c r="Z4" s="74" t="s">
        <v>316</v>
      </c>
      <c r="AA4" s="74" t="s">
        <v>348</v>
      </c>
      <c r="AB4" s="74" t="s">
        <v>1</v>
      </c>
      <c r="AC4" s="74" t="s">
        <v>131</v>
      </c>
      <c r="AD4" s="41" t="s">
        <v>131</v>
      </c>
    </row>
    <row r="5" spans="1:30" ht="15.75" thickBot="1" x14ac:dyDescent="0.3">
      <c r="A5" s="729"/>
      <c r="B5" s="729" t="s">
        <v>3</v>
      </c>
      <c r="C5" s="729" t="s">
        <v>134</v>
      </c>
      <c r="D5" s="1146" t="s">
        <v>1354</v>
      </c>
      <c r="E5" s="1139">
        <v>44389</v>
      </c>
      <c r="F5" s="1146" t="s">
        <v>1329</v>
      </c>
      <c r="G5" s="1146" t="s">
        <v>1184</v>
      </c>
      <c r="H5" s="96" t="s">
        <v>314</v>
      </c>
      <c r="I5" s="96" t="s">
        <v>314</v>
      </c>
      <c r="J5" s="96" t="s">
        <v>315</v>
      </c>
      <c r="K5" s="97" t="s">
        <v>134</v>
      </c>
      <c r="L5" s="97" t="s">
        <v>136</v>
      </c>
      <c r="M5" s="98" t="s">
        <v>315</v>
      </c>
      <c r="N5" s="98" t="s">
        <v>0</v>
      </c>
      <c r="O5" s="98" t="s">
        <v>120</v>
      </c>
      <c r="P5" s="98" t="s">
        <v>121</v>
      </c>
      <c r="Q5" s="98" t="s">
        <v>122</v>
      </c>
      <c r="R5" s="98" t="s">
        <v>123</v>
      </c>
      <c r="S5" s="98" t="s">
        <v>124</v>
      </c>
      <c r="T5" s="98" t="s">
        <v>125</v>
      </c>
      <c r="U5" s="98" t="s">
        <v>126</v>
      </c>
      <c r="V5" s="98" t="s">
        <v>127</v>
      </c>
      <c r="W5" s="98" t="s">
        <v>128</v>
      </c>
      <c r="X5" s="98" t="s">
        <v>129</v>
      </c>
      <c r="Y5" s="98" t="s">
        <v>130</v>
      </c>
      <c r="Z5" s="75" t="s">
        <v>317</v>
      </c>
      <c r="AA5" s="75" t="s">
        <v>315</v>
      </c>
      <c r="AB5" s="75" t="s">
        <v>317</v>
      </c>
      <c r="AC5" s="75" t="s">
        <v>314</v>
      </c>
      <c r="AD5" s="98" t="s">
        <v>132</v>
      </c>
    </row>
    <row r="6" spans="1:30" ht="15.75" thickTop="1" x14ac:dyDescent="0.25">
      <c r="A6" s="319" t="s">
        <v>408</v>
      </c>
      <c r="B6" s="320"/>
      <c r="C6" s="320"/>
      <c r="D6" s="320"/>
      <c r="E6" s="320"/>
      <c r="F6" s="320"/>
      <c r="G6" s="1019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</row>
    <row r="7" spans="1:30" ht="22.5" customHeight="1" x14ac:dyDescent="0.25">
      <c r="A7" s="110" t="s">
        <v>4</v>
      </c>
      <c r="B7" s="49"/>
      <c r="C7" s="188"/>
      <c r="D7" s="937"/>
      <c r="E7" s="937"/>
      <c r="F7" s="937"/>
      <c r="G7" s="452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09"/>
      <c r="AC7" s="40"/>
      <c r="AD7" s="188"/>
    </row>
    <row r="8" spans="1:30" x14ac:dyDescent="0.25">
      <c r="A8" s="111" t="s">
        <v>167</v>
      </c>
      <c r="B8" s="112" t="s">
        <v>6</v>
      </c>
      <c r="C8" s="113">
        <f>2227250</f>
        <v>2227250</v>
      </c>
      <c r="D8" s="113"/>
      <c r="E8" s="113">
        <f>95510</f>
        <v>95510</v>
      </c>
      <c r="F8" s="113"/>
      <c r="G8" s="1020"/>
      <c r="H8" s="113">
        <f t="shared" ref="H8:H25" si="0">SUM(C8:G8)</f>
        <v>2322760</v>
      </c>
      <c r="I8" s="113">
        <f>H8/12*9</f>
        <v>1742070</v>
      </c>
      <c r="J8" s="113">
        <f>H8/12</f>
        <v>193563.33333333334</v>
      </c>
      <c r="K8" s="188"/>
      <c r="L8" s="188"/>
      <c r="M8" s="40">
        <f>I8+J8</f>
        <v>1935633.3333333333</v>
      </c>
      <c r="N8" s="265">
        <v>178907</v>
      </c>
      <c r="O8" s="265">
        <v>178907</v>
      </c>
      <c r="P8" s="265">
        <v>178907</v>
      </c>
      <c r="Q8" s="265">
        <v>205024.38</v>
      </c>
      <c r="R8" s="265">
        <v>185494.38</v>
      </c>
      <c r="S8" s="265">
        <v>185497</v>
      </c>
      <c r="T8" s="265">
        <v>185664.37</v>
      </c>
      <c r="U8" s="265">
        <v>185670</v>
      </c>
      <c r="V8" s="265">
        <v>185744.76</v>
      </c>
      <c r="W8" s="265">
        <v>185750</v>
      </c>
      <c r="X8" s="265"/>
      <c r="Y8" s="265"/>
      <c r="Z8" s="265">
        <f>N8+O8+P8+Q8+R8+S8+T8+U8+V8</f>
        <v>1669815.89</v>
      </c>
      <c r="AA8" s="265">
        <f>W8</f>
        <v>185750</v>
      </c>
      <c r="AB8" s="40">
        <f t="shared" ref="AB8:AB23" si="1">Z8+AA8</f>
        <v>1855565.89</v>
      </c>
      <c r="AC8" s="40">
        <f t="shared" ref="AC8:AC25" si="2">M8-AB8</f>
        <v>80067.443333333358</v>
      </c>
      <c r="AD8" s="322">
        <f>H8-AB8</f>
        <v>467194.1100000001</v>
      </c>
    </row>
    <row r="9" spans="1:30" x14ac:dyDescent="0.25">
      <c r="A9" s="110" t="s">
        <v>168</v>
      </c>
      <c r="B9" s="114"/>
      <c r="C9" s="345"/>
      <c r="D9" s="345"/>
      <c r="E9" s="345"/>
      <c r="F9" s="345"/>
      <c r="G9" s="1021"/>
      <c r="H9" s="113">
        <f t="shared" si="0"/>
        <v>0</v>
      </c>
      <c r="I9" s="113">
        <f t="shared" ref="I9:I25" si="3">H9/12*9</f>
        <v>0</v>
      </c>
      <c r="J9" s="345"/>
      <c r="K9" s="188"/>
      <c r="L9" s="188"/>
      <c r="M9" s="40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997">
        <f t="shared" ref="Z9:Z25" si="4">N9+O9+P9+Q9+R9+S9+T9+U9+V9</f>
        <v>0</v>
      </c>
      <c r="AA9" s="997">
        <f t="shared" ref="AA9:AA25" si="5">W9</f>
        <v>0</v>
      </c>
      <c r="AB9" s="40">
        <f t="shared" si="1"/>
        <v>0</v>
      </c>
      <c r="AC9" s="40">
        <f t="shared" si="2"/>
        <v>0</v>
      </c>
      <c r="AD9" s="996">
        <f t="shared" ref="AD9:AD24" si="6">H9-AB9</f>
        <v>0</v>
      </c>
    </row>
    <row r="10" spans="1:30" x14ac:dyDescent="0.25">
      <c r="A10" s="115" t="s">
        <v>10</v>
      </c>
      <c r="B10" s="116" t="s">
        <v>11</v>
      </c>
      <c r="C10" s="40">
        <f>264000</f>
        <v>264000</v>
      </c>
      <c r="D10" s="989"/>
      <c r="E10" s="989">
        <f>10000</f>
        <v>10000</v>
      </c>
      <c r="F10" s="989"/>
      <c r="G10" s="1010"/>
      <c r="H10" s="113">
        <f t="shared" si="0"/>
        <v>274000</v>
      </c>
      <c r="I10" s="113">
        <f t="shared" si="3"/>
        <v>205500</v>
      </c>
      <c r="J10" s="113">
        <f t="shared" ref="J10:J23" si="7">H10/12</f>
        <v>22833.333333333332</v>
      </c>
      <c r="K10" s="188"/>
      <c r="L10" s="188"/>
      <c r="M10" s="40">
        <f t="shared" ref="M10:M23" si="8">I10+J10</f>
        <v>228333.33333333334</v>
      </c>
      <c r="N10" s="265">
        <v>22000</v>
      </c>
      <c r="O10" s="265">
        <v>22000</v>
      </c>
      <c r="P10" s="265">
        <v>22000</v>
      </c>
      <c r="Q10" s="265">
        <v>22000</v>
      </c>
      <c r="R10" s="265">
        <v>22000</v>
      </c>
      <c r="S10" s="265">
        <v>22000</v>
      </c>
      <c r="T10" s="265">
        <v>22000</v>
      </c>
      <c r="U10" s="265">
        <v>22000</v>
      </c>
      <c r="V10" s="265">
        <v>22000</v>
      </c>
      <c r="W10" s="265">
        <v>22000</v>
      </c>
      <c r="X10" s="265"/>
      <c r="Y10" s="265"/>
      <c r="Z10" s="997">
        <f t="shared" si="4"/>
        <v>198000</v>
      </c>
      <c r="AA10" s="997">
        <f t="shared" si="5"/>
        <v>22000</v>
      </c>
      <c r="AB10" s="40">
        <f t="shared" si="1"/>
        <v>220000</v>
      </c>
      <c r="AC10" s="40">
        <f t="shared" si="2"/>
        <v>8333.333333333343</v>
      </c>
      <c r="AD10" s="996">
        <f t="shared" si="6"/>
        <v>54000</v>
      </c>
    </row>
    <row r="11" spans="1:30" x14ac:dyDescent="0.25">
      <c r="A11" s="115" t="s">
        <v>12</v>
      </c>
      <c r="B11" s="116" t="s">
        <v>13</v>
      </c>
      <c r="C11" s="40">
        <f>72000</f>
        <v>72000</v>
      </c>
      <c r="D11" s="989"/>
      <c r="E11" s="989"/>
      <c r="F11" s="989"/>
      <c r="G11" s="1010"/>
      <c r="H11" s="113">
        <f t="shared" si="0"/>
        <v>72000</v>
      </c>
      <c r="I11" s="113">
        <f t="shared" si="3"/>
        <v>54000</v>
      </c>
      <c r="J11" s="113">
        <f t="shared" si="7"/>
        <v>6000</v>
      </c>
      <c r="K11" s="188"/>
      <c r="L11" s="188"/>
      <c r="M11" s="40">
        <f t="shared" si="8"/>
        <v>60000</v>
      </c>
      <c r="N11" s="265">
        <v>6000</v>
      </c>
      <c r="O11" s="265">
        <v>6000</v>
      </c>
      <c r="P11" s="265">
        <v>6000</v>
      </c>
      <c r="Q11" s="265">
        <v>6000</v>
      </c>
      <c r="R11" s="265">
        <v>6000</v>
      </c>
      <c r="S11" s="265">
        <v>6000</v>
      </c>
      <c r="T11" s="265">
        <v>6000</v>
      </c>
      <c r="U11" s="265">
        <v>6000</v>
      </c>
      <c r="V11" s="265">
        <v>6000</v>
      </c>
      <c r="W11" s="265">
        <v>6000</v>
      </c>
      <c r="X11" s="265"/>
      <c r="Y11" s="265"/>
      <c r="Z11" s="997">
        <f t="shared" si="4"/>
        <v>54000</v>
      </c>
      <c r="AA11" s="997">
        <f t="shared" si="5"/>
        <v>6000</v>
      </c>
      <c r="AB11" s="40">
        <f t="shared" si="1"/>
        <v>60000</v>
      </c>
      <c r="AC11" s="40">
        <f t="shared" si="2"/>
        <v>0</v>
      </c>
      <c r="AD11" s="996">
        <f t="shared" si="6"/>
        <v>12000</v>
      </c>
    </row>
    <row r="12" spans="1:30" x14ac:dyDescent="0.25">
      <c r="A12" s="115" t="s">
        <v>14</v>
      </c>
      <c r="B12" s="116" t="s">
        <v>15</v>
      </c>
      <c r="C12" s="40">
        <f>72000</f>
        <v>72000</v>
      </c>
      <c r="D12" s="989"/>
      <c r="E12" s="989"/>
      <c r="F12" s="989"/>
      <c r="G12" s="1010"/>
      <c r="H12" s="113">
        <f t="shared" si="0"/>
        <v>72000</v>
      </c>
      <c r="I12" s="113">
        <f t="shared" si="3"/>
        <v>54000</v>
      </c>
      <c r="J12" s="113">
        <f t="shared" si="7"/>
        <v>6000</v>
      </c>
      <c r="K12" s="188"/>
      <c r="L12" s="188"/>
      <c r="M12" s="40">
        <f t="shared" si="8"/>
        <v>60000</v>
      </c>
      <c r="N12" s="265">
        <v>6000</v>
      </c>
      <c r="O12" s="265">
        <v>6000</v>
      </c>
      <c r="P12" s="265">
        <v>6000</v>
      </c>
      <c r="Q12" s="265">
        <v>6000</v>
      </c>
      <c r="R12" s="265">
        <v>6000</v>
      </c>
      <c r="S12" s="265">
        <v>6000</v>
      </c>
      <c r="T12" s="265">
        <v>6000</v>
      </c>
      <c r="U12" s="265">
        <v>6000</v>
      </c>
      <c r="V12" s="265">
        <v>6000</v>
      </c>
      <c r="W12" s="265">
        <v>6000</v>
      </c>
      <c r="X12" s="265"/>
      <c r="Y12" s="265"/>
      <c r="Z12" s="997">
        <f t="shared" si="4"/>
        <v>54000</v>
      </c>
      <c r="AA12" s="997">
        <f t="shared" si="5"/>
        <v>6000</v>
      </c>
      <c r="AB12" s="40">
        <f t="shared" si="1"/>
        <v>60000</v>
      </c>
      <c r="AC12" s="40">
        <f t="shared" si="2"/>
        <v>0</v>
      </c>
      <c r="AD12" s="996">
        <f t="shared" si="6"/>
        <v>12000</v>
      </c>
    </row>
    <row r="13" spans="1:30" x14ac:dyDescent="0.25">
      <c r="A13" s="115" t="s">
        <v>16</v>
      </c>
      <c r="B13" s="116" t="s">
        <v>17</v>
      </c>
      <c r="C13" s="40">
        <f>66000</f>
        <v>66000</v>
      </c>
      <c r="D13" s="989"/>
      <c r="E13" s="989"/>
      <c r="F13" s="989"/>
      <c r="G13" s="1010"/>
      <c r="H13" s="113">
        <f t="shared" si="0"/>
        <v>66000</v>
      </c>
      <c r="I13" s="113">
        <f>H13/12*11</f>
        <v>60500</v>
      </c>
      <c r="J13" s="113">
        <f t="shared" si="7"/>
        <v>5500</v>
      </c>
      <c r="K13" s="188"/>
      <c r="L13" s="188"/>
      <c r="M13" s="40">
        <f t="shared" si="8"/>
        <v>66000</v>
      </c>
      <c r="N13" s="265">
        <v>44000</v>
      </c>
      <c r="O13" s="265"/>
      <c r="P13" s="265"/>
      <c r="Q13" s="265"/>
      <c r="R13" s="265"/>
      <c r="S13" s="265"/>
      <c r="T13" s="265"/>
      <c r="U13" s="265"/>
      <c r="V13" s="265"/>
      <c r="W13" s="265">
        <v>9075</v>
      </c>
      <c r="X13" s="265"/>
      <c r="Y13" s="265"/>
      <c r="Z13" s="997">
        <f t="shared" si="4"/>
        <v>44000</v>
      </c>
      <c r="AA13" s="997">
        <f t="shared" si="5"/>
        <v>9075</v>
      </c>
      <c r="AB13" s="40">
        <f t="shared" si="1"/>
        <v>53075</v>
      </c>
      <c r="AC13" s="40">
        <f t="shared" si="2"/>
        <v>12925</v>
      </c>
      <c r="AD13" s="996">
        <f t="shared" si="6"/>
        <v>12925</v>
      </c>
    </row>
    <row r="14" spans="1:30" x14ac:dyDescent="0.25">
      <c r="A14" s="111" t="s">
        <v>24</v>
      </c>
      <c r="B14" s="116" t="s">
        <v>23</v>
      </c>
      <c r="C14" s="40">
        <f>185834</f>
        <v>185834</v>
      </c>
      <c r="D14" s="989"/>
      <c r="E14" s="989">
        <f>19102</f>
        <v>19102</v>
      </c>
      <c r="F14" s="989"/>
      <c r="G14" s="1010"/>
      <c r="H14" s="113">
        <f t="shared" si="0"/>
        <v>204936</v>
      </c>
      <c r="I14" s="113">
        <f t="shared" si="3"/>
        <v>153702</v>
      </c>
      <c r="J14" s="113">
        <f t="shared" si="7"/>
        <v>17078</v>
      </c>
      <c r="K14" s="188"/>
      <c r="L14" s="188"/>
      <c r="M14" s="40">
        <f t="shared" si="8"/>
        <v>170780</v>
      </c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997">
        <f t="shared" si="4"/>
        <v>0</v>
      </c>
      <c r="AA14" s="997">
        <f t="shared" si="5"/>
        <v>0</v>
      </c>
      <c r="AB14" s="40">
        <f t="shared" si="1"/>
        <v>0</v>
      </c>
      <c r="AC14" s="40">
        <f t="shared" si="2"/>
        <v>170780</v>
      </c>
      <c r="AD14" s="996">
        <f t="shared" si="6"/>
        <v>204936</v>
      </c>
    </row>
    <row r="15" spans="1:30" x14ac:dyDescent="0.25">
      <c r="A15" s="111" t="s">
        <v>25</v>
      </c>
      <c r="B15" s="116" t="s">
        <v>26</v>
      </c>
      <c r="C15" s="40">
        <f>55000</f>
        <v>55000</v>
      </c>
      <c r="D15" s="989"/>
      <c r="E15" s="989">
        <f>5000</f>
        <v>5000</v>
      </c>
      <c r="F15" s="989"/>
      <c r="G15" s="1010"/>
      <c r="H15" s="113">
        <f t="shared" si="0"/>
        <v>60000</v>
      </c>
      <c r="I15" s="113">
        <f t="shared" si="3"/>
        <v>45000</v>
      </c>
      <c r="J15" s="113">
        <f t="shared" si="7"/>
        <v>5000</v>
      </c>
      <c r="K15" s="188"/>
      <c r="L15" s="188"/>
      <c r="M15" s="40">
        <f t="shared" si="8"/>
        <v>50000</v>
      </c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997">
        <f t="shared" si="4"/>
        <v>0</v>
      </c>
      <c r="AA15" s="997">
        <f t="shared" si="5"/>
        <v>0</v>
      </c>
      <c r="AB15" s="40">
        <f t="shared" si="1"/>
        <v>0</v>
      </c>
      <c r="AC15" s="40">
        <f t="shared" si="2"/>
        <v>50000</v>
      </c>
      <c r="AD15" s="996">
        <f t="shared" si="6"/>
        <v>60000</v>
      </c>
    </row>
    <row r="16" spans="1:30" x14ac:dyDescent="0.25">
      <c r="A16" s="110" t="s">
        <v>409</v>
      </c>
      <c r="B16" s="111"/>
      <c r="C16" s="40"/>
      <c r="D16" s="989"/>
      <c r="E16" s="989"/>
      <c r="F16" s="989"/>
      <c r="G16" s="1010"/>
      <c r="H16" s="113">
        <f t="shared" si="0"/>
        <v>0</v>
      </c>
      <c r="I16" s="113">
        <f t="shared" si="3"/>
        <v>0</v>
      </c>
      <c r="J16" s="113">
        <f t="shared" si="7"/>
        <v>0</v>
      </c>
      <c r="K16" s="188"/>
      <c r="L16" s="188"/>
      <c r="M16" s="40">
        <f t="shared" si="8"/>
        <v>0</v>
      </c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997">
        <f t="shared" si="4"/>
        <v>0</v>
      </c>
      <c r="AA16" s="997">
        <f t="shared" si="5"/>
        <v>0</v>
      </c>
      <c r="AB16" s="40">
        <f t="shared" si="1"/>
        <v>0</v>
      </c>
      <c r="AC16" s="40">
        <f t="shared" si="2"/>
        <v>0</v>
      </c>
      <c r="AD16" s="996">
        <f t="shared" si="6"/>
        <v>0</v>
      </c>
    </row>
    <row r="17" spans="1:30" x14ac:dyDescent="0.25">
      <c r="A17" s="62" t="s">
        <v>169</v>
      </c>
      <c r="B17" s="116" t="s">
        <v>19</v>
      </c>
      <c r="C17" s="40">
        <f>55000</f>
        <v>55000</v>
      </c>
      <c r="D17" s="989"/>
      <c r="E17" s="989">
        <f>5000</f>
        <v>5000</v>
      </c>
      <c r="F17" s="989"/>
      <c r="G17" s="1010"/>
      <c r="H17" s="113">
        <f t="shared" si="0"/>
        <v>60000</v>
      </c>
      <c r="I17" s="113">
        <f t="shared" si="3"/>
        <v>45000</v>
      </c>
      <c r="J17" s="113">
        <f t="shared" si="7"/>
        <v>5000</v>
      </c>
      <c r="K17" s="188"/>
      <c r="L17" s="188"/>
      <c r="M17" s="40">
        <f t="shared" si="8"/>
        <v>50000</v>
      </c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997">
        <f t="shared" si="4"/>
        <v>0</v>
      </c>
      <c r="AA17" s="997">
        <f t="shared" si="5"/>
        <v>0</v>
      </c>
      <c r="AB17" s="40">
        <f t="shared" si="1"/>
        <v>0</v>
      </c>
      <c r="AC17" s="40">
        <f t="shared" si="2"/>
        <v>50000</v>
      </c>
      <c r="AD17" s="996">
        <f t="shared" si="6"/>
        <v>60000</v>
      </c>
    </row>
    <row r="18" spans="1:30" x14ac:dyDescent="0.25">
      <c r="A18" s="111" t="s">
        <v>170</v>
      </c>
      <c r="B18" s="116" t="s">
        <v>23</v>
      </c>
      <c r="C18" s="40">
        <f>185497</f>
        <v>185497</v>
      </c>
      <c r="D18" s="989"/>
      <c r="E18" s="989"/>
      <c r="F18" s="989"/>
      <c r="G18" s="1010"/>
      <c r="H18" s="113">
        <f t="shared" si="0"/>
        <v>185497</v>
      </c>
      <c r="I18" s="113">
        <f t="shared" si="3"/>
        <v>139122.75</v>
      </c>
      <c r="J18" s="113">
        <f t="shared" si="7"/>
        <v>15458.083333333334</v>
      </c>
      <c r="K18" s="188"/>
      <c r="L18" s="188"/>
      <c r="M18" s="40">
        <f t="shared" si="8"/>
        <v>154580.83333333334</v>
      </c>
      <c r="N18" s="265"/>
      <c r="O18" s="1190"/>
      <c r="P18" s="997"/>
      <c r="Q18" s="265"/>
      <c r="R18" s="1153">
        <v>185497</v>
      </c>
      <c r="S18" s="265"/>
      <c r="T18" s="265"/>
      <c r="U18" s="265"/>
      <c r="V18" s="265"/>
      <c r="W18" s="265"/>
      <c r="X18" s="265"/>
      <c r="Y18" s="265"/>
      <c r="Z18" s="997">
        <f t="shared" si="4"/>
        <v>185497</v>
      </c>
      <c r="AA18" s="997">
        <f t="shared" si="5"/>
        <v>0</v>
      </c>
      <c r="AB18" s="40">
        <f t="shared" si="1"/>
        <v>185497</v>
      </c>
      <c r="AC18" s="40">
        <f t="shared" si="2"/>
        <v>-30916.166666666657</v>
      </c>
      <c r="AD18" s="996">
        <f t="shared" si="6"/>
        <v>0</v>
      </c>
    </row>
    <row r="19" spans="1:30" x14ac:dyDescent="0.25">
      <c r="A19" s="110" t="s">
        <v>370</v>
      </c>
      <c r="B19" s="114"/>
      <c r="C19" s="40"/>
      <c r="D19" s="989"/>
      <c r="E19" s="989"/>
      <c r="F19" s="989"/>
      <c r="G19" s="1010"/>
      <c r="H19" s="113">
        <f t="shared" si="0"/>
        <v>0</v>
      </c>
      <c r="I19" s="113">
        <f t="shared" si="3"/>
        <v>0</v>
      </c>
      <c r="J19" s="113">
        <f t="shared" si="7"/>
        <v>0</v>
      </c>
      <c r="K19" s="188"/>
      <c r="L19" s="188"/>
      <c r="M19" s="40">
        <f t="shared" si="8"/>
        <v>0</v>
      </c>
      <c r="N19" s="265"/>
      <c r="O19" s="997"/>
      <c r="P19" s="997"/>
      <c r="Q19" s="265"/>
      <c r="R19" s="997"/>
      <c r="S19" s="265"/>
      <c r="T19" s="265"/>
      <c r="U19" s="265"/>
      <c r="V19" s="265"/>
      <c r="W19" s="265"/>
      <c r="X19" s="265"/>
      <c r="Y19" s="265"/>
      <c r="Z19" s="997">
        <f t="shared" si="4"/>
        <v>0</v>
      </c>
      <c r="AA19" s="997">
        <f t="shared" si="5"/>
        <v>0</v>
      </c>
      <c r="AB19" s="40">
        <f t="shared" si="1"/>
        <v>0</v>
      </c>
      <c r="AC19" s="40">
        <f t="shared" si="2"/>
        <v>0</v>
      </c>
      <c r="AD19" s="996">
        <f t="shared" si="6"/>
        <v>0</v>
      </c>
    </row>
    <row r="20" spans="1:30" x14ac:dyDescent="0.25">
      <c r="A20" s="117" t="s">
        <v>171</v>
      </c>
      <c r="B20" s="116" t="s">
        <v>29</v>
      </c>
      <c r="C20" s="40">
        <f>267270</f>
        <v>267270</v>
      </c>
      <c r="D20" s="989"/>
      <c r="E20" s="989">
        <v>11461.2</v>
      </c>
      <c r="F20" s="989"/>
      <c r="G20" s="1010"/>
      <c r="H20" s="113">
        <f t="shared" si="0"/>
        <v>278731.2</v>
      </c>
      <c r="I20" s="113">
        <f t="shared" si="3"/>
        <v>209048.40000000002</v>
      </c>
      <c r="J20" s="113">
        <f t="shared" si="7"/>
        <v>23227.600000000002</v>
      </c>
      <c r="K20" s="188"/>
      <c r="L20" s="188"/>
      <c r="M20" s="40">
        <f t="shared" si="8"/>
        <v>232276.00000000003</v>
      </c>
      <c r="N20" s="776">
        <v>21468.84</v>
      </c>
      <c r="O20" s="776">
        <v>21468.84</v>
      </c>
      <c r="P20" s="1087">
        <v>21468.84</v>
      </c>
      <c r="Q20" s="265">
        <v>24603.24</v>
      </c>
      <c r="R20" s="776">
        <v>22259.64</v>
      </c>
      <c r="S20" s="1170">
        <v>22259.64</v>
      </c>
      <c r="T20" s="1170">
        <v>22279.72</v>
      </c>
      <c r="U20" s="1170">
        <v>22280.400000000001</v>
      </c>
      <c r="V20" s="1257">
        <v>22289.37</v>
      </c>
      <c r="W20" s="1276">
        <v>22290</v>
      </c>
      <c r="X20" s="265"/>
      <c r="Y20" s="265"/>
      <c r="Z20" s="997">
        <f t="shared" si="4"/>
        <v>200378.53</v>
      </c>
      <c r="AA20" s="997">
        <f t="shared" si="5"/>
        <v>22290</v>
      </c>
      <c r="AB20" s="40">
        <f t="shared" si="1"/>
        <v>222668.53</v>
      </c>
      <c r="AC20" s="40">
        <f t="shared" si="2"/>
        <v>9607.4700000000303</v>
      </c>
      <c r="AD20" s="996">
        <f t="shared" si="6"/>
        <v>56062.670000000013</v>
      </c>
    </row>
    <row r="21" spans="1:30" x14ac:dyDescent="0.25">
      <c r="A21" s="117" t="s">
        <v>172</v>
      </c>
      <c r="B21" s="116" t="s">
        <v>31</v>
      </c>
      <c r="C21" s="40">
        <f>44545</f>
        <v>44545</v>
      </c>
      <c r="D21" s="989"/>
      <c r="E21" s="989">
        <v>1910.2</v>
      </c>
      <c r="F21" s="989"/>
      <c r="G21" s="1010"/>
      <c r="H21" s="113">
        <f t="shared" si="0"/>
        <v>46455.199999999997</v>
      </c>
      <c r="I21" s="113">
        <f t="shared" si="3"/>
        <v>34841.399999999994</v>
      </c>
      <c r="J21" s="113">
        <f t="shared" si="7"/>
        <v>3871.2666666666664</v>
      </c>
      <c r="K21" s="188"/>
      <c r="L21" s="188"/>
      <c r="M21" s="40">
        <f t="shared" si="8"/>
        <v>38712.666666666657</v>
      </c>
      <c r="N21" s="776">
        <v>3578.14</v>
      </c>
      <c r="O21" s="776">
        <v>3578.14</v>
      </c>
      <c r="P21" s="1087">
        <v>3578.14</v>
      </c>
      <c r="Q21" s="265">
        <v>4100.54</v>
      </c>
      <c r="R21" s="776">
        <v>3709.94</v>
      </c>
      <c r="S21" s="1170">
        <v>3709.94</v>
      </c>
      <c r="T21" s="1170">
        <v>3713.29</v>
      </c>
      <c r="U21" s="1170">
        <v>3713.4</v>
      </c>
      <c r="V21" s="1257">
        <v>2670.92</v>
      </c>
      <c r="W21" s="1276">
        <v>3715</v>
      </c>
      <c r="X21" s="265"/>
      <c r="Y21" s="265"/>
      <c r="Z21" s="997">
        <f t="shared" si="4"/>
        <v>32352.449999999997</v>
      </c>
      <c r="AA21" s="997">
        <f t="shared" si="5"/>
        <v>3715</v>
      </c>
      <c r="AB21" s="40">
        <f t="shared" si="1"/>
        <v>36067.449999999997</v>
      </c>
      <c r="AC21" s="40">
        <f t="shared" si="2"/>
        <v>2645.2166666666599</v>
      </c>
      <c r="AD21" s="996">
        <f t="shared" si="6"/>
        <v>10387.75</v>
      </c>
    </row>
    <row r="22" spans="1:30" x14ac:dyDescent="0.25">
      <c r="A22" s="117" t="s">
        <v>173</v>
      </c>
      <c r="B22" s="116" t="s">
        <v>33</v>
      </c>
      <c r="C22" s="40">
        <f>39350.33</f>
        <v>39350.33</v>
      </c>
      <c r="D22" s="989"/>
      <c r="E22" s="989">
        <v>1671.43</v>
      </c>
      <c r="F22" s="989"/>
      <c r="G22" s="1010"/>
      <c r="H22" s="113">
        <f t="shared" si="0"/>
        <v>41021.760000000002</v>
      </c>
      <c r="I22" s="113">
        <f t="shared" si="3"/>
        <v>30766.32</v>
      </c>
      <c r="J22" s="113">
        <f t="shared" si="7"/>
        <v>3418.48</v>
      </c>
      <c r="K22" s="188"/>
      <c r="L22" s="188"/>
      <c r="M22" s="40">
        <f t="shared" si="8"/>
        <v>34184.800000000003</v>
      </c>
      <c r="N22" s="776">
        <v>2619.66</v>
      </c>
      <c r="O22" s="776">
        <v>2619.66</v>
      </c>
      <c r="P22" s="1087">
        <v>2619.66</v>
      </c>
      <c r="Q22" s="265">
        <v>2668.32</v>
      </c>
      <c r="R22" s="776">
        <v>2668.32</v>
      </c>
      <c r="S22" s="1170">
        <v>2668.32</v>
      </c>
      <c r="T22" s="1170">
        <v>2670.92</v>
      </c>
      <c r="U22" s="1170">
        <v>2670.92</v>
      </c>
      <c r="V22" s="1257">
        <v>3714.9</v>
      </c>
      <c r="W22" s="1276">
        <v>2670.92</v>
      </c>
      <c r="X22" s="265"/>
      <c r="Y22" s="265"/>
      <c r="Z22" s="997">
        <f t="shared" si="4"/>
        <v>24920.68</v>
      </c>
      <c r="AA22" s="997">
        <f t="shared" si="5"/>
        <v>2670.92</v>
      </c>
      <c r="AB22" s="40">
        <f t="shared" si="1"/>
        <v>27591.599999999999</v>
      </c>
      <c r="AC22" s="40">
        <f t="shared" si="2"/>
        <v>6593.2000000000044</v>
      </c>
      <c r="AD22" s="996">
        <f t="shared" si="6"/>
        <v>13430.160000000003</v>
      </c>
    </row>
    <row r="23" spans="1:30" x14ac:dyDescent="0.25">
      <c r="A23" s="49" t="s">
        <v>174</v>
      </c>
      <c r="B23" s="116" t="s">
        <v>35</v>
      </c>
      <c r="C23" s="40">
        <f>12986.6</f>
        <v>12986.6</v>
      </c>
      <c r="D23" s="989"/>
      <c r="E23" s="989">
        <v>500</v>
      </c>
      <c r="F23" s="989"/>
      <c r="G23" s="1010"/>
      <c r="H23" s="113">
        <f t="shared" si="0"/>
        <v>13486.6</v>
      </c>
      <c r="I23" s="113">
        <f t="shared" si="3"/>
        <v>10114.950000000001</v>
      </c>
      <c r="J23" s="113">
        <f t="shared" si="7"/>
        <v>1123.8833333333334</v>
      </c>
      <c r="K23" s="188"/>
      <c r="L23" s="188"/>
      <c r="M23" s="40">
        <f t="shared" si="8"/>
        <v>11238.833333333334</v>
      </c>
      <c r="N23" s="776">
        <v>1062.05</v>
      </c>
      <c r="O23" s="776">
        <v>1062.05</v>
      </c>
      <c r="P23" s="1087">
        <v>1062.05</v>
      </c>
      <c r="Q23" s="265">
        <v>1140.05</v>
      </c>
      <c r="R23" s="776">
        <v>1082.1500000000001</v>
      </c>
      <c r="S23" s="1170">
        <v>1082.1500000000001</v>
      </c>
      <c r="T23" s="1170">
        <v>1084.55</v>
      </c>
      <c r="U23" s="1170">
        <v>1082.1500000000001</v>
      </c>
      <c r="V23" s="1257">
        <v>1082.9000000000001</v>
      </c>
      <c r="W23" s="265">
        <v>1082.95</v>
      </c>
      <c r="X23" s="265"/>
      <c r="Y23" s="265"/>
      <c r="Z23" s="997">
        <f t="shared" si="4"/>
        <v>9740.1</v>
      </c>
      <c r="AA23" s="997">
        <f t="shared" si="5"/>
        <v>1082.95</v>
      </c>
      <c r="AB23" s="40">
        <f t="shared" si="1"/>
        <v>10823.050000000001</v>
      </c>
      <c r="AC23" s="40">
        <f t="shared" si="2"/>
        <v>415.78333333333285</v>
      </c>
      <c r="AD23" s="996">
        <f t="shared" si="6"/>
        <v>2663.5499999999993</v>
      </c>
    </row>
    <row r="24" spans="1:30" x14ac:dyDescent="0.25">
      <c r="A24" s="49" t="s">
        <v>38</v>
      </c>
      <c r="B24" s="116" t="s">
        <v>39</v>
      </c>
      <c r="C24" s="40"/>
      <c r="D24" s="989"/>
      <c r="E24" s="989"/>
      <c r="F24" s="989"/>
      <c r="G24" s="1010"/>
      <c r="H24" s="113">
        <f t="shared" si="0"/>
        <v>0</v>
      </c>
      <c r="I24" s="113">
        <f t="shared" si="3"/>
        <v>0</v>
      </c>
      <c r="J24" s="113"/>
      <c r="K24" s="188"/>
      <c r="L24" s="188"/>
      <c r="M24" s="40"/>
      <c r="N24" s="265"/>
      <c r="O24" s="1190"/>
      <c r="P24" s="1087"/>
      <c r="Q24" s="265"/>
      <c r="R24" s="997"/>
      <c r="S24" s="265"/>
      <c r="T24" s="265"/>
      <c r="U24" s="265"/>
      <c r="V24" s="265"/>
      <c r="W24" s="265"/>
      <c r="X24" s="265"/>
      <c r="Y24" s="265"/>
      <c r="Z24" s="997">
        <f t="shared" si="4"/>
        <v>0</v>
      </c>
      <c r="AA24" s="997">
        <f t="shared" si="5"/>
        <v>0</v>
      </c>
      <c r="AB24" s="188"/>
      <c r="AC24" s="40">
        <f t="shared" si="2"/>
        <v>0</v>
      </c>
      <c r="AD24" s="996">
        <f t="shared" si="6"/>
        <v>0</v>
      </c>
    </row>
    <row r="25" spans="1:30" x14ac:dyDescent="0.25">
      <c r="A25" s="111" t="s">
        <v>175</v>
      </c>
      <c r="B25" s="118"/>
      <c r="C25" s="40"/>
      <c r="D25" s="989"/>
      <c r="E25" s="989"/>
      <c r="F25" s="989"/>
      <c r="G25" s="1010"/>
      <c r="H25" s="113">
        <f t="shared" si="0"/>
        <v>0</v>
      </c>
      <c r="I25" s="113">
        <f t="shared" si="3"/>
        <v>0</v>
      </c>
      <c r="J25" s="40"/>
      <c r="K25" s="188"/>
      <c r="L25" s="188"/>
      <c r="M25" s="40"/>
      <c r="N25" s="265"/>
      <c r="O25" s="265"/>
      <c r="P25" s="265"/>
      <c r="Q25" s="265"/>
      <c r="R25" s="997"/>
      <c r="S25" s="265"/>
      <c r="T25" s="265"/>
      <c r="U25" s="265"/>
      <c r="V25" s="265"/>
      <c r="W25" s="265"/>
      <c r="X25" s="265"/>
      <c r="Y25" s="265"/>
      <c r="Z25" s="997">
        <f t="shared" si="4"/>
        <v>0</v>
      </c>
      <c r="AA25" s="997">
        <f t="shared" si="5"/>
        <v>0</v>
      </c>
      <c r="AB25" s="188"/>
      <c r="AC25" s="40">
        <f t="shared" si="2"/>
        <v>0</v>
      </c>
      <c r="AD25" s="322">
        <f t="shared" ref="AD25" si="9">H25-AB25</f>
        <v>0</v>
      </c>
    </row>
    <row r="26" spans="1:30" x14ac:dyDescent="0.25">
      <c r="A26" s="110" t="s">
        <v>40</v>
      </c>
      <c r="B26" s="119"/>
      <c r="C26" s="346">
        <f t="shared" ref="C26:AD26" si="10">SUM(C8:C25)</f>
        <v>3546732.93</v>
      </c>
      <c r="D26" s="346">
        <f t="shared" si="10"/>
        <v>0</v>
      </c>
      <c r="E26" s="346">
        <f t="shared" si="10"/>
        <v>150154.83000000002</v>
      </c>
      <c r="F26" s="346">
        <f t="shared" si="10"/>
        <v>0</v>
      </c>
      <c r="G26" s="346">
        <f t="shared" si="10"/>
        <v>0</v>
      </c>
      <c r="H26" s="346">
        <f t="shared" si="10"/>
        <v>3696887.7600000002</v>
      </c>
      <c r="I26" s="346">
        <f t="shared" si="10"/>
        <v>2783665.82</v>
      </c>
      <c r="J26" s="346">
        <f t="shared" si="10"/>
        <v>308073.98</v>
      </c>
      <c r="K26" s="346">
        <f t="shared" si="10"/>
        <v>0</v>
      </c>
      <c r="L26" s="346">
        <f t="shared" si="10"/>
        <v>0</v>
      </c>
      <c r="M26" s="346">
        <f t="shared" si="10"/>
        <v>3091739.8</v>
      </c>
      <c r="N26" s="346">
        <f t="shared" si="10"/>
        <v>285635.69</v>
      </c>
      <c r="O26" s="346">
        <f t="shared" si="10"/>
        <v>241635.69</v>
      </c>
      <c r="P26" s="346">
        <f t="shared" si="10"/>
        <v>241635.69</v>
      </c>
      <c r="Q26" s="346">
        <f t="shared" si="10"/>
        <v>271536.52999999997</v>
      </c>
      <c r="R26" s="346">
        <f t="shared" si="10"/>
        <v>434711.43000000005</v>
      </c>
      <c r="S26" s="346">
        <f t="shared" si="10"/>
        <v>249217.05000000002</v>
      </c>
      <c r="T26" s="346">
        <f t="shared" si="10"/>
        <v>249412.85</v>
      </c>
      <c r="U26" s="346">
        <f t="shared" si="10"/>
        <v>249416.87</v>
      </c>
      <c r="V26" s="346">
        <f t="shared" si="10"/>
        <v>249502.85</v>
      </c>
      <c r="W26" s="346">
        <f t="shared" si="10"/>
        <v>258583.87000000002</v>
      </c>
      <c r="X26" s="346">
        <f t="shared" si="10"/>
        <v>0</v>
      </c>
      <c r="Y26" s="346">
        <f t="shared" si="10"/>
        <v>0</v>
      </c>
      <c r="Z26" s="346">
        <f t="shared" si="10"/>
        <v>2472704.65</v>
      </c>
      <c r="AA26" s="346">
        <f t="shared" si="10"/>
        <v>258583.87000000002</v>
      </c>
      <c r="AB26" s="346">
        <f t="shared" si="10"/>
        <v>2731288.5199999996</v>
      </c>
      <c r="AC26" s="346">
        <f t="shared" si="10"/>
        <v>360451.28000000014</v>
      </c>
      <c r="AD26" s="346">
        <f t="shared" si="10"/>
        <v>965599.24000000022</v>
      </c>
    </row>
    <row r="27" spans="1:30" x14ac:dyDescent="0.25">
      <c r="A27" s="110" t="s">
        <v>176</v>
      </c>
      <c r="B27" s="111"/>
      <c r="C27" s="253"/>
      <c r="D27" s="253"/>
      <c r="E27" s="253"/>
      <c r="F27" s="253"/>
      <c r="G27" s="1022"/>
      <c r="H27" s="253"/>
      <c r="I27" s="253"/>
      <c r="J27" s="253"/>
      <c r="K27" s="188"/>
      <c r="L27" s="188"/>
      <c r="M27" s="109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40"/>
      <c r="AD27" s="188"/>
    </row>
    <row r="28" spans="1:30" x14ac:dyDescent="0.25">
      <c r="A28" s="120" t="s">
        <v>139</v>
      </c>
      <c r="B28" s="112" t="s">
        <v>43</v>
      </c>
      <c r="C28" s="40">
        <f>88250</f>
        <v>88250</v>
      </c>
      <c r="D28" s="989"/>
      <c r="E28" s="989"/>
      <c r="F28" s="989"/>
      <c r="G28" s="1010"/>
      <c r="H28" s="113">
        <f t="shared" ref="H28:H43" si="11">SUM(C28:G28)</f>
        <v>88250</v>
      </c>
      <c r="I28" s="113">
        <f t="shared" ref="I28:I43" si="12">H28/12*9</f>
        <v>66187.5</v>
      </c>
      <c r="J28" s="113">
        <f t="shared" ref="J28:J43" si="13">H28/12</f>
        <v>7354.166666666667</v>
      </c>
      <c r="K28" s="188"/>
      <c r="L28" s="188"/>
      <c r="M28" s="40">
        <f t="shared" ref="M28:M43" si="14">I28+J28</f>
        <v>73541.666666666672</v>
      </c>
      <c r="N28" s="265"/>
      <c r="O28" s="265">
        <v>1280</v>
      </c>
      <c r="P28" s="265"/>
      <c r="Q28" s="265"/>
      <c r="R28" s="265">
        <v>2640</v>
      </c>
      <c r="S28" s="265">
        <v>6600</v>
      </c>
      <c r="T28" s="265">
        <v>1320</v>
      </c>
      <c r="U28" s="265">
        <v>5014</v>
      </c>
      <c r="V28" s="265">
        <v>7040</v>
      </c>
      <c r="W28" s="265"/>
      <c r="X28" s="265"/>
      <c r="Y28" s="265"/>
      <c r="Z28" s="997">
        <f t="shared" ref="Z28:Z43" si="15">N28+O28+P28+Q28+R28+S28+T28+U28+V28</f>
        <v>23894</v>
      </c>
      <c r="AA28" s="997">
        <f t="shared" ref="AA28:AA43" si="16">W28</f>
        <v>0</v>
      </c>
      <c r="AB28" s="40">
        <f>Z28+AA28</f>
        <v>23894</v>
      </c>
      <c r="AC28" s="40">
        <f t="shared" ref="AC28:AC43" si="17">M28-AB28</f>
        <v>49647.666666666672</v>
      </c>
      <c r="AD28" s="996">
        <f t="shared" ref="AD28:AD56" si="18">H28-AB28</f>
        <v>64356</v>
      </c>
    </row>
    <row r="29" spans="1:30" x14ac:dyDescent="0.25">
      <c r="A29" s="120" t="s">
        <v>44</v>
      </c>
      <c r="B29" s="112" t="s">
        <v>140</v>
      </c>
      <c r="C29" s="52">
        <f>77150</f>
        <v>77150</v>
      </c>
      <c r="D29" s="720">
        <v>10120</v>
      </c>
      <c r="E29" s="720"/>
      <c r="F29" s="720">
        <f>-15000</f>
        <v>-15000</v>
      </c>
      <c r="G29" s="1011"/>
      <c r="H29" s="113">
        <f>SUM(C29:G29)</f>
        <v>72270</v>
      </c>
      <c r="I29" s="113">
        <f t="shared" si="12"/>
        <v>54202.5</v>
      </c>
      <c r="J29" s="113">
        <f t="shared" si="13"/>
        <v>6022.5</v>
      </c>
      <c r="K29" s="188"/>
      <c r="L29" s="188"/>
      <c r="M29" s="40">
        <f t="shared" si="14"/>
        <v>60225</v>
      </c>
      <c r="N29" s="265"/>
      <c r="O29" s="265"/>
      <c r="P29" s="265"/>
      <c r="Q29" s="265"/>
      <c r="R29" s="265"/>
      <c r="S29" s="265"/>
      <c r="T29" s="265"/>
      <c r="U29" s="265">
        <v>15180</v>
      </c>
      <c r="V29" s="265">
        <v>10189</v>
      </c>
      <c r="W29" s="1077">
        <v>500</v>
      </c>
      <c r="X29" s="265"/>
      <c r="Y29" s="265"/>
      <c r="Z29" s="997">
        <f t="shared" si="15"/>
        <v>25369</v>
      </c>
      <c r="AA29" s="997">
        <f t="shared" si="16"/>
        <v>500</v>
      </c>
      <c r="AB29" s="40">
        <f t="shared" ref="AB29:AB43" si="19">Z29+AA29</f>
        <v>25869</v>
      </c>
      <c r="AC29" s="40">
        <f t="shared" si="17"/>
        <v>34356</v>
      </c>
      <c r="AD29" s="996">
        <f t="shared" si="18"/>
        <v>46401</v>
      </c>
    </row>
    <row r="30" spans="1:30" x14ac:dyDescent="0.25">
      <c r="A30" s="120" t="s">
        <v>50</v>
      </c>
      <c r="B30" s="112" t="s">
        <v>51</v>
      </c>
      <c r="C30" s="52">
        <f>100500</f>
        <v>100500</v>
      </c>
      <c r="D30" s="720"/>
      <c r="E30" s="720"/>
      <c r="F30" s="720"/>
      <c r="G30" s="1011"/>
      <c r="H30" s="113">
        <f t="shared" si="11"/>
        <v>100500</v>
      </c>
      <c r="I30" s="113">
        <f t="shared" si="12"/>
        <v>75375</v>
      </c>
      <c r="J30" s="113">
        <f t="shared" si="13"/>
        <v>8375</v>
      </c>
      <c r="K30" s="188"/>
      <c r="L30" s="188"/>
      <c r="M30" s="40">
        <f t="shared" si="14"/>
        <v>83750</v>
      </c>
      <c r="N30" s="265"/>
      <c r="O30" s="265"/>
      <c r="P30" s="265">
        <v>21580</v>
      </c>
      <c r="Q30" s="265"/>
      <c r="R30" s="265"/>
      <c r="S30" s="265">
        <v>17695</v>
      </c>
      <c r="T30" s="265">
        <f>1720-1320</f>
        <v>400</v>
      </c>
      <c r="U30" s="265">
        <v>13109</v>
      </c>
      <c r="V30" s="265">
        <v>15700</v>
      </c>
      <c r="W30" s="265"/>
      <c r="X30" s="265"/>
      <c r="Y30" s="265"/>
      <c r="Z30" s="997">
        <f>N30+O30+P30+Q30+R30+S30+T30+U30+V30</f>
        <v>68484</v>
      </c>
      <c r="AA30" s="997">
        <f t="shared" si="16"/>
        <v>0</v>
      </c>
      <c r="AB30" s="40">
        <f t="shared" si="19"/>
        <v>68484</v>
      </c>
      <c r="AC30" s="40">
        <f t="shared" si="17"/>
        <v>15266</v>
      </c>
      <c r="AD30" s="996">
        <f t="shared" si="18"/>
        <v>32016</v>
      </c>
    </row>
    <row r="31" spans="1:30" x14ac:dyDescent="0.25">
      <c r="A31" s="60" t="s">
        <v>177</v>
      </c>
      <c r="B31" s="112" t="s">
        <v>56</v>
      </c>
      <c r="C31" s="52"/>
      <c r="D31" s="720"/>
      <c r="E31" s="720"/>
      <c r="F31" s="720"/>
      <c r="G31" s="1011"/>
      <c r="H31" s="113">
        <f t="shared" si="11"/>
        <v>0</v>
      </c>
      <c r="I31" s="113">
        <f t="shared" si="12"/>
        <v>0</v>
      </c>
      <c r="J31" s="113">
        <f t="shared" si="13"/>
        <v>0</v>
      </c>
      <c r="K31" s="188"/>
      <c r="L31" s="188"/>
      <c r="M31" s="40">
        <f t="shared" si="14"/>
        <v>0</v>
      </c>
      <c r="N31" s="265"/>
      <c r="O31" s="265"/>
      <c r="P31" s="265"/>
      <c r="Q31" s="265"/>
      <c r="R31" s="265"/>
      <c r="S31" s="265"/>
      <c r="T31" s="265"/>
      <c r="U31" s="1170"/>
      <c r="V31" s="265"/>
      <c r="W31" s="265"/>
      <c r="X31" s="265"/>
      <c r="Y31" s="265"/>
      <c r="Z31" s="997">
        <f t="shared" si="15"/>
        <v>0</v>
      </c>
      <c r="AA31" s="997">
        <f t="shared" si="16"/>
        <v>0</v>
      </c>
      <c r="AB31" s="40">
        <f t="shared" si="19"/>
        <v>0</v>
      </c>
      <c r="AC31" s="40">
        <f t="shared" si="17"/>
        <v>0</v>
      </c>
      <c r="AD31" s="996">
        <f t="shared" si="18"/>
        <v>0</v>
      </c>
    </row>
    <row r="32" spans="1:30" x14ac:dyDescent="0.25">
      <c r="A32" s="275" t="s">
        <v>410</v>
      </c>
      <c r="B32" s="112" t="s">
        <v>56</v>
      </c>
      <c r="C32" s="52">
        <f>100000</f>
        <v>100000</v>
      </c>
      <c r="D32" s="720"/>
      <c r="E32" s="720"/>
      <c r="F32" s="720"/>
      <c r="G32" s="1011"/>
      <c r="H32" s="113">
        <f t="shared" si="11"/>
        <v>100000</v>
      </c>
      <c r="I32" s="113">
        <f t="shared" si="12"/>
        <v>75000</v>
      </c>
      <c r="J32" s="113">
        <f t="shared" si="13"/>
        <v>8333.3333333333339</v>
      </c>
      <c r="K32" s="188"/>
      <c r="L32" s="188"/>
      <c r="M32" s="40">
        <f t="shared" si="14"/>
        <v>83333.333333333328</v>
      </c>
      <c r="N32" s="265"/>
      <c r="O32" s="265"/>
      <c r="P32" s="265">
        <v>7531.19</v>
      </c>
      <c r="Q32" s="265">
        <f>7624.51</f>
        <v>7624.51</v>
      </c>
      <c r="R32" s="265">
        <v>8512</v>
      </c>
      <c r="S32" s="265">
        <v>8537.76</v>
      </c>
      <c r="T32" s="997"/>
      <c r="U32" s="265">
        <v>7907.2</v>
      </c>
      <c r="V32" s="265">
        <f>14314.7+20729.69</f>
        <v>35044.39</v>
      </c>
      <c r="W32" s="265"/>
      <c r="X32" s="265"/>
      <c r="Y32" s="265"/>
      <c r="Z32" s="997">
        <f t="shared" si="15"/>
        <v>75157.049999999988</v>
      </c>
      <c r="AA32" s="997">
        <f t="shared" si="16"/>
        <v>0</v>
      </c>
      <c r="AB32" s="40">
        <f t="shared" si="19"/>
        <v>75157.049999999988</v>
      </c>
      <c r="AC32" s="40">
        <f t="shared" si="17"/>
        <v>8176.2833333333401</v>
      </c>
      <c r="AD32" s="996">
        <f t="shared" si="18"/>
        <v>24842.950000000012</v>
      </c>
    </row>
    <row r="33" spans="1:30" x14ac:dyDescent="0.25">
      <c r="A33" s="275" t="s">
        <v>411</v>
      </c>
      <c r="B33" s="112" t="s">
        <v>56</v>
      </c>
      <c r="C33" s="52">
        <f>3000000</f>
        <v>3000000</v>
      </c>
      <c r="D33" s="720"/>
      <c r="E33" s="720"/>
      <c r="F33" s="720"/>
      <c r="G33" s="1011"/>
      <c r="H33" s="113">
        <f t="shared" si="11"/>
        <v>3000000</v>
      </c>
      <c r="I33" s="113">
        <f t="shared" si="12"/>
        <v>2250000</v>
      </c>
      <c r="J33" s="113">
        <f t="shared" si="13"/>
        <v>250000</v>
      </c>
      <c r="K33" s="188"/>
      <c r="L33" s="188"/>
      <c r="M33" s="40">
        <f t="shared" si="14"/>
        <v>2500000</v>
      </c>
      <c r="N33" s="265"/>
      <c r="O33" s="265">
        <f>151241.66+130480.2</f>
        <v>281721.86</v>
      </c>
      <c r="P33" s="265"/>
      <c r="Q33" s="265">
        <f>271326.1+169270.64</f>
        <v>440596.74</v>
      </c>
      <c r="R33" s="265">
        <v>131963.64000000001</v>
      </c>
      <c r="S33" s="265">
        <v>429481.94</v>
      </c>
      <c r="T33" s="1150">
        <f>132616.2+174500.79</f>
        <v>307116.99</v>
      </c>
      <c r="U33" s="1170">
        <v>143221.51999999999</v>
      </c>
      <c r="V33" s="265">
        <f>260165.14</f>
        <v>260165.14</v>
      </c>
      <c r="W33" s="265">
        <v>425361.56</v>
      </c>
      <c r="X33" s="265"/>
      <c r="Y33" s="265"/>
      <c r="Z33" s="997">
        <f t="shared" si="15"/>
        <v>1994267.83</v>
      </c>
      <c r="AA33" s="997">
        <f t="shared" si="16"/>
        <v>425361.56</v>
      </c>
      <c r="AB33" s="40">
        <f t="shared" si="19"/>
        <v>2419629.39</v>
      </c>
      <c r="AC33" s="40">
        <f t="shared" si="17"/>
        <v>80370.60999999987</v>
      </c>
      <c r="AD33" s="996">
        <f t="shared" si="18"/>
        <v>580370.60999999987</v>
      </c>
    </row>
    <row r="34" spans="1:30" x14ac:dyDescent="0.25">
      <c r="A34" s="60" t="s">
        <v>178</v>
      </c>
      <c r="B34" s="50" t="s">
        <v>60</v>
      </c>
      <c r="C34" s="52">
        <v>72000</v>
      </c>
      <c r="D34" s="720"/>
      <c r="E34" s="720"/>
      <c r="F34" s="720"/>
      <c r="G34" s="1011"/>
      <c r="H34" s="113">
        <f t="shared" si="11"/>
        <v>72000</v>
      </c>
      <c r="I34" s="113">
        <f t="shared" si="12"/>
        <v>54000</v>
      </c>
      <c r="J34" s="113">
        <f t="shared" si="13"/>
        <v>6000</v>
      </c>
      <c r="K34" s="121"/>
      <c r="L34" s="121"/>
      <c r="M34" s="40">
        <f t="shared" si="14"/>
        <v>60000</v>
      </c>
      <c r="N34" s="52"/>
      <c r="O34" s="78">
        <v>3429.69</v>
      </c>
      <c r="P34" s="1079">
        <v>6394.29</v>
      </c>
      <c r="Q34" s="78">
        <v>3512.15</v>
      </c>
      <c r="R34" s="720"/>
      <c r="S34" s="78">
        <v>3467.1</v>
      </c>
      <c r="T34" s="720">
        <v>3189</v>
      </c>
      <c r="U34" s="78">
        <v>3107.12</v>
      </c>
      <c r="V34" s="997">
        <v>3474.6</v>
      </c>
      <c r="W34" s="720">
        <v>3677.11</v>
      </c>
      <c r="X34" s="78"/>
      <c r="Y34" s="78"/>
      <c r="Z34" s="997">
        <f t="shared" si="15"/>
        <v>26573.949999999997</v>
      </c>
      <c r="AA34" s="997">
        <f t="shared" si="16"/>
        <v>3677.11</v>
      </c>
      <c r="AB34" s="40">
        <f t="shared" si="19"/>
        <v>30251.059999999998</v>
      </c>
      <c r="AC34" s="40">
        <f t="shared" si="17"/>
        <v>29748.940000000002</v>
      </c>
      <c r="AD34" s="996">
        <f t="shared" si="18"/>
        <v>41748.94</v>
      </c>
    </row>
    <row r="35" spans="1:30" x14ac:dyDescent="0.25">
      <c r="A35" s="60" t="s">
        <v>412</v>
      </c>
      <c r="B35" s="50" t="s">
        <v>157</v>
      </c>
      <c r="C35" s="52">
        <v>1800000</v>
      </c>
      <c r="D35" s="720"/>
      <c r="E35" s="720"/>
      <c r="F35" s="720"/>
      <c r="G35" s="1011"/>
      <c r="H35" s="113">
        <f t="shared" si="11"/>
        <v>1800000</v>
      </c>
      <c r="I35" s="113">
        <f t="shared" si="12"/>
        <v>1350000</v>
      </c>
      <c r="J35" s="113">
        <f t="shared" si="13"/>
        <v>150000</v>
      </c>
      <c r="K35" s="121"/>
      <c r="L35" s="121"/>
      <c r="M35" s="40">
        <f t="shared" si="14"/>
        <v>1500000</v>
      </c>
      <c r="N35" s="52">
        <v>108903.62</v>
      </c>
      <c r="O35" s="78"/>
      <c r="P35" s="720">
        <v>120379.59</v>
      </c>
      <c r="Q35" s="78">
        <v>131928.45000000001</v>
      </c>
      <c r="R35" s="720">
        <v>130030.12</v>
      </c>
      <c r="S35" s="78">
        <v>178098.19</v>
      </c>
      <c r="T35" s="720">
        <v>145744.89000000001</v>
      </c>
      <c r="U35" s="78">
        <v>130624.87</v>
      </c>
      <c r="V35" s="720">
        <v>139848.01</v>
      </c>
      <c r="W35" s="720">
        <v>170294.91</v>
      </c>
      <c r="X35" s="78"/>
      <c r="Y35" s="78"/>
      <c r="Z35" s="997">
        <f t="shared" si="15"/>
        <v>1085557.74</v>
      </c>
      <c r="AA35" s="997">
        <f t="shared" si="16"/>
        <v>170294.91</v>
      </c>
      <c r="AB35" s="40">
        <f t="shared" si="19"/>
        <v>1255852.6499999999</v>
      </c>
      <c r="AC35" s="40">
        <f t="shared" si="17"/>
        <v>244147.35000000009</v>
      </c>
      <c r="AD35" s="996">
        <f t="shared" si="18"/>
        <v>544147.35000000009</v>
      </c>
    </row>
    <row r="36" spans="1:30" x14ac:dyDescent="0.25">
      <c r="A36" s="60" t="s">
        <v>61</v>
      </c>
      <c r="B36" s="50" t="s">
        <v>62</v>
      </c>
      <c r="C36" s="52">
        <v>39500</v>
      </c>
      <c r="D36" s="720"/>
      <c r="E36" s="720"/>
      <c r="F36" s="720"/>
      <c r="G36" s="1011"/>
      <c r="H36" s="113">
        <f t="shared" si="11"/>
        <v>39500</v>
      </c>
      <c r="I36" s="113">
        <f t="shared" si="12"/>
        <v>29625</v>
      </c>
      <c r="J36" s="113">
        <f t="shared" si="13"/>
        <v>3291.6666666666665</v>
      </c>
      <c r="K36" s="188"/>
      <c r="L36" s="188"/>
      <c r="M36" s="40">
        <f t="shared" si="14"/>
        <v>32916.666666666664</v>
      </c>
      <c r="N36" s="265"/>
      <c r="O36" s="265">
        <v>2998</v>
      </c>
      <c r="P36" s="265">
        <v>2998</v>
      </c>
      <c r="Q36" s="265">
        <v>2998</v>
      </c>
      <c r="R36" s="265">
        <v>2998</v>
      </c>
      <c r="S36" s="265">
        <v>4297</v>
      </c>
      <c r="T36" s="997">
        <v>2998</v>
      </c>
      <c r="U36" s="265">
        <v>1299</v>
      </c>
      <c r="V36" s="997">
        <v>4781</v>
      </c>
      <c r="W36" s="265">
        <v>1299</v>
      </c>
      <c r="X36" s="265"/>
      <c r="Y36" s="265"/>
      <c r="Z36" s="997">
        <f t="shared" si="15"/>
        <v>25367</v>
      </c>
      <c r="AA36" s="997">
        <f t="shared" si="16"/>
        <v>1299</v>
      </c>
      <c r="AB36" s="40">
        <f t="shared" si="19"/>
        <v>26666</v>
      </c>
      <c r="AC36" s="40">
        <f t="shared" si="17"/>
        <v>6250.6666666666642</v>
      </c>
      <c r="AD36" s="996">
        <f t="shared" si="18"/>
        <v>12834</v>
      </c>
    </row>
    <row r="37" spans="1:30" x14ac:dyDescent="0.25">
      <c r="A37" s="62" t="s">
        <v>179</v>
      </c>
      <c r="B37" s="50" t="s">
        <v>70</v>
      </c>
      <c r="C37" s="122">
        <v>1350400</v>
      </c>
      <c r="D37" s="677"/>
      <c r="E37" s="677"/>
      <c r="F37" s="677"/>
      <c r="G37" s="1023"/>
      <c r="H37" s="113">
        <f t="shared" si="11"/>
        <v>1350400</v>
      </c>
      <c r="I37" s="113">
        <f t="shared" si="12"/>
        <v>1012800</v>
      </c>
      <c r="J37" s="113">
        <f t="shared" si="13"/>
        <v>112533.33333333333</v>
      </c>
      <c r="K37" s="188"/>
      <c r="L37" s="188"/>
      <c r="M37" s="40">
        <f t="shared" si="14"/>
        <v>1125333.3333333333</v>
      </c>
      <c r="N37" s="265">
        <v>70817.710000000006</v>
      </c>
      <c r="O37" s="265">
        <v>111271.83</v>
      </c>
      <c r="P37" s="265">
        <v>112574.83</v>
      </c>
      <c r="Q37" s="265">
        <v>112851.36</v>
      </c>
      <c r="R37" s="265">
        <v>104436.07</v>
      </c>
      <c r="S37" s="265">
        <v>128281.84</v>
      </c>
      <c r="T37" s="997">
        <v>77268.36</v>
      </c>
      <c r="U37" s="265">
        <v>106298.12</v>
      </c>
      <c r="V37" s="265">
        <v>106300</v>
      </c>
      <c r="W37" s="265">
        <v>106300</v>
      </c>
      <c r="X37" s="265"/>
      <c r="Y37" s="265"/>
      <c r="Z37" s="997">
        <f t="shared" si="15"/>
        <v>930100.12</v>
      </c>
      <c r="AA37" s="997">
        <f t="shared" si="16"/>
        <v>106300</v>
      </c>
      <c r="AB37" s="40">
        <f t="shared" si="19"/>
        <v>1036400.12</v>
      </c>
      <c r="AC37" s="40">
        <f t="shared" si="17"/>
        <v>88933.21333333326</v>
      </c>
      <c r="AD37" s="996">
        <f t="shared" si="18"/>
        <v>313999.88</v>
      </c>
    </row>
    <row r="38" spans="1:30" x14ac:dyDescent="0.25">
      <c r="A38" s="62" t="s">
        <v>226</v>
      </c>
      <c r="B38" s="50" t="s">
        <v>225</v>
      </c>
      <c r="C38" s="122">
        <v>1059000</v>
      </c>
      <c r="D38" s="677"/>
      <c r="E38" s="677"/>
      <c r="F38" s="677"/>
      <c r="G38" s="1023"/>
      <c r="H38" s="113">
        <f t="shared" si="11"/>
        <v>1059000</v>
      </c>
      <c r="I38" s="113">
        <f t="shared" si="12"/>
        <v>794250</v>
      </c>
      <c r="J38" s="113">
        <f t="shared" si="13"/>
        <v>88250</v>
      </c>
      <c r="K38" s="188"/>
      <c r="L38" s="188"/>
      <c r="M38" s="40">
        <f t="shared" si="14"/>
        <v>882500</v>
      </c>
      <c r="N38" s="265">
        <v>58567.05</v>
      </c>
      <c r="O38" s="265">
        <v>77771.63</v>
      </c>
      <c r="P38" s="265">
        <v>73735.259999999995</v>
      </c>
      <c r="Q38" s="265">
        <v>71479.37</v>
      </c>
      <c r="R38" s="265">
        <v>69192.479999999996</v>
      </c>
      <c r="S38" s="265">
        <v>81814.69</v>
      </c>
      <c r="T38" s="997">
        <v>57780.62</v>
      </c>
      <c r="U38" s="265">
        <v>78391</v>
      </c>
      <c r="V38" s="265">
        <v>78537.5</v>
      </c>
      <c r="W38" s="265">
        <v>79300</v>
      </c>
      <c r="X38" s="265"/>
      <c r="Y38" s="265"/>
      <c r="Z38" s="997">
        <f t="shared" si="15"/>
        <v>647269.6</v>
      </c>
      <c r="AA38" s="997">
        <f t="shared" si="16"/>
        <v>79300</v>
      </c>
      <c r="AB38" s="40">
        <f t="shared" si="19"/>
        <v>726569.6</v>
      </c>
      <c r="AC38" s="40">
        <f t="shared" si="17"/>
        <v>155930.40000000002</v>
      </c>
      <c r="AD38" s="996">
        <f t="shared" si="18"/>
        <v>332430.40000000002</v>
      </c>
    </row>
    <row r="39" spans="1:30" x14ac:dyDescent="0.25">
      <c r="A39" s="62" t="s">
        <v>75</v>
      </c>
      <c r="B39" s="50" t="s">
        <v>76</v>
      </c>
      <c r="C39" s="40">
        <v>10950</v>
      </c>
      <c r="D39" s="989"/>
      <c r="E39" s="989"/>
      <c r="F39" s="989"/>
      <c r="G39" s="1010"/>
      <c r="H39" s="113">
        <f t="shared" si="11"/>
        <v>10950</v>
      </c>
      <c r="I39" s="113">
        <f t="shared" si="12"/>
        <v>8212.5</v>
      </c>
      <c r="J39" s="113">
        <f t="shared" si="13"/>
        <v>912.5</v>
      </c>
      <c r="K39" s="188"/>
      <c r="L39" s="188"/>
      <c r="M39" s="40">
        <f t="shared" si="14"/>
        <v>9125</v>
      </c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997">
        <f t="shared" si="15"/>
        <v>0</v>
      </c>
      <c r="AA39" s="997">
        <f t="shared" si="16"/>
        <v>0</v>
      </c>
      <c r="AB39" s="40">
        <f t="shared" si="19"/>
        <v>0</v>
      </c>
      <c r="AC39" s="40">
        <f t="shared" si="17"/>
        <v>9125</v>
      </c>
      <c r="AD39" s="996">
        <f t="shared" si="18"/>
        <v>10950</v>
      </c>
    </row>
    <row r="40" spans="1:30" x14ac:dyDescent="0.25">
      <c r="A40" s="62" t="s">
        <v>142</v>
      </c>
      <c r="B40" s="50" t="s">
        <v>76</v>
      </c>
      <c r="C40" s="40">
        <v>37000</v>
      </c>
      <c r="D40" s="989"/>
      <c r="E40" s="989"/>
      <c r="F40" s="989"/>
      <c r="G40" s="1010"/>
      <c r="H40" s="113">
        <f t="shared" si="11"/>
        <v>37000</v>
      </c>
      <c r="I40" s="113">
        <f t="shared" si="12"/>
        <v>27750</v>
      </c>
      <c r="J40" s="113">
        <f t="shared" si="13"/>
        <v>3083.3333333333335</v>
      </c>
      <c r="K40" s="188"/>
      <c r="L40" s="188"/>
      <c r="M40" s="40">
        <f t="shared" si="14"/>
        <v>30833.333333333332</v>
      </c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997">
        <f t="shared" si="15"/>
        <v>0</v>
      </c>
      <c r="AA40" s="997">
        <f t="shared" si="16"/>
        <v>0</v>
      </c>
      <c r="AB40" s="40">
        <f t="shared" si="19"/>
        <v>0</v>
      </c>
      <c r="AC40" s="40">
        <f t="shared" si="17"/>
        <v>30833.333333333332</v>
      </c>
      <c r="AD40" s="996">
        <f t="shared" si="18"/>
        <v>37000</v>
      </c>
    </row>
    <row r="41" spans="1:30" x14ac:dyDescent="0.25">
      <c r="A41" s="62" t="s">
        <v>413</v>
      </c>
      <c r="B41" s="50" t="s">
        <v>159</v>
      </c>
      <c r="C41" s="40">
        <v>25000</v>
      </c>
      <c r="D41" s="989"/>
      <c r="E41" s="989"/>
      <c r="F41" s="989"/>
      <c r="G41" s="1010"/>
      <c r="H41" s="113">
        <f t="shared" si="11"/>
        <v>25000</v>
      </c>
      <c r="I41" s="113">
        <f t="shared" si="12"/>
        <v>18750</v>
      </c>
      <c r="J41" s="113">
        <f t="shared" si="13"/>
        <v>2083.3333333333335</v>
      </c>
      <c r="K41" s="188"/>
      <c r="L41" s="188"/>
      <c r="M41" s="40">
        <f t="shared" si="14"/>
        <v>20833.333333333332</v>
      </c>
      <c r="N41" s="265"/>
      <c r="O41" s="265"/>
      <c r="P41" s="265"/>
      <c r="Q41" s="265"/>
      <c r="R41" s="265"/>
      <c r="S41" s="265">
        <v>1500</v>
      </c>
      <c r="T41" s="265"/>
      <c r="U41" s="265"/>
      <c r="V41" s="265"/>
      <c r="W41" s="265"/>
      <c r="X41" s="265"/>
      <c r="Y41" s="265"/>
      <c r="Z41" s="997">
        <f t="shared" si="15"/>
        <v>1500</v>
      </c>
      <c r="AA41" s="997">
        <f t="shared" si="16"/>
        <v>0</v>
      </c>
      <c r="AB41" s="40">
        <f t="shared" si="19"/>
        <v>1500</v>
      </c>
      <c r="AC41" s="40">
        <f t="shared" si="17"/>
        <v>19333.333333333332</v>
      </c>
      <c r="AD41" s="996">
        <f t="shared" si="18"/>
        <v>23500</v>
      </c>
    </row>
    <row r="42" spans="1:30" x14ac:dyDescent="0.25">
      <c r="A42" s="120" t="s">
        <v>414</v>
      </c>
      <c r="B42" s="50" t="s">
        <v>81</v>
      </c>
      <c r="C42" s="40">
        <v>2000</v>
      </c>
      <c r="D42" s="989"/>
      <c r="E42" s="989"/>
      <c r="F42" s="989"/>
      <c r="G42" s="1010"/>
      <c r="H42" s="113">
        <f t="shared" si="11"/>
        <v>2000</v>
      </c>
      <c r="I42" s="113">
        <f t="shared" si="12"/>
        <v>1500</v>
      </c>
      <c r="J42" s="113">
        <f t="shared" si="13"/>
        <v>166.66666666666666</v>
      </c>
      <c r="K42" s="188"/>
      <c r="L42" s="188"/>
      <c r="M42" s="40">
        <f t="shared" si="14"/>
        <v>1666.6666666666667</v>
      </c>
      <c r="N42" s="265"/>
      <c r="O42" s="265"/>
      <c r="P42" s="265">
        <v>350</v>
      </c>
      <c r="Q42" s="265"/>
      <c r="R42" s="265"/>
      <c r="S42" s="265"/>
      <c r="T42" s="265"/>
      <c r="U42" s="265"/>
      <c r="V42" s="265">
        <v>719.06</v>
      </c>
      <c r="W42" s="265"/>
      <c r="X42" s="265"/>
      <c r="Y42" s="265"/>
      <c r="Z42" s="997">
        <f t="shared" si="15"/>
        <v>1069.06</v>
      </c>
      <c r="AA42" s="997">
        <f t="shared" si="16"/>
        <v>0</v>
      </c>
      <c r="AB42" s="40">
        <f t="shared" si="19"/>
        <v>1069.06</v>
      </c>
      <c r="AC42" s="40">
        <f t="shared" si="17"/>
        <v>597.6066666666668</v>
      </c>
      <c r="AD42" s="996">
        <f t="shared" si="18"/>
        <v>930.94</v>
      </c>
    </row>
    <row r="43" spans="1:30" x14ac:dyDescent="0.25">
      <c r="A43" s="120" t="s">
        <v>155</v>
      </c>
      <c r="B43" s="50" t="s">
        <v>106</v>
      </c>
      <c r="C43" s="40">
        <v>30000</v>
      </c>
      <c r="D43" s="989"/>
      <c r="E43" s="989"/>
      <c r="F43" s="989"/>
      <c r="G43" s="1010"/>
      <c r="H43" s="113">
        <f t="shared" si="11"/>
        <v>30000</v>
      </c>
      <c r="I43" s="113">
        <f t="shared" si="12"/>
        <v>22500</v>
      </c>
      <c r="J43" s="113">
        <f t="shared" si="13"/>
        <v>2500</v>
      </c>
      <c r="K43" s="188"/>
      <c r="L43" s="188"/>
      <c r="M43" s="40">
        <f t="shared" si="14"/>
        <v>25000</v>
      </c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997">
        <f t="shared" si="15"/>
        <v>0</v>
      </c>
      <c r="AA43" s="997">
        <f t="shared" si="16"/>
        <v>0</v>
      </c>
      <c r="AB43" s="40">
        <f t="shared" si="19"/>
        <v>0</v>
      </c>
      <c r="AC43" s="40">
        <f t="shared" si="17"/>
        <v>25000</v>
      </c>
      <c r="AD43" s="996">
        <f t="shared" si="18"/>
        <v>30000</v>
      </c>
    </row>
    <row r="44" spans="1:30" x14ac:dyDescent="0.25">
      <c r="A44" s="110" t="s">
        <v>108</v>
      </c>
      <c r="B44" s="123"/>
      <c r="C44" s="109">
        <f t="shared" ref="C44:AD44" si="20">SUM(C28:C43)</f>
        <v>7791750</v>
      </c>
      <c r="D44" s="990">
        <f t="shared" si="20"/>
        <v>10120</v>
      </c>
      <c r="E44" s="990">
        <f t="shared" si="20"/>
        <v>0</v>
      </c>
      <c r="F44" s="990">
        <f t="shared" si="20"/>
        <v>-15000</v>
      </c>
      <c r="G44" s="990">
        <f t="shared" si="20"/>
        <v>0</v>
      </c>
      <c r="H44" s="109">
        <f t="shared" si="20"/>
        <v>7786870</v>
      </c>
      <c r="I44" s="109">
        <f t="shared" si="20"/>
        <v>5840152.5</v>
      </c>
      <c r="J44" s="109">
        <f t="shared" si="20"/>
        <v>648905.83333333337</v>
      </c>
      <c r="K44" s="109">
        <f t="shared" si="20"/>
        <v>0</v>
      </c>
      <c r="L44" s="109">
        <f t="shared" si="20"/>
        <v>0</v>
      </c>
      <c r="M44" s="109">
        <f t="shared" si="20"/>
        <v>6489058.333333333</v>
      </c>
      <c r="N44" s="109">
        <f t="shared" si="20"/>
        <v>238288.38</v>
      </c>
      <c r="O44" s="109">
        <f t="shared" si="20"/>
        <v>478473.01</v>
      </c>
      <c r="P44" s="109">
        <f t="shared" si="20"/>
        <v>345543.16000000003</v>
      </c>
      <c r="Q44" s="109">
        <f t="shared" si="20"/>
        <v>770990.58000000007</v>
      </c>
      <c r="R44" s="109">
        <f t="shared" si="20"/>
        <v>449772.31</v>
      </c>
      <c r="S44" s="109">
        <f t="shared" si="20"/>
        <v>859773.52</v>
      </c>
      <c r="T44" s="109">
        <f t="shared" si="20"/>
        <v>595817.86</v>
      </c>
      <c r="U44" s="109">
        <f t="shared" si="20"/>
        <v>504151.82999999996</v>
      </c>
      <c r="V44" s="109">
        <f>SUM(V28:V43)</f>
        <v>661798.70000000007</v>
      </c>
      <c r="W44" s="109">
        <f t="shared" si="20"/>
        <v>786732.58</v>
      </c>
      <c r="X44" s="109">
        <f t="shared" si="20"/>
        <v>0</v>
      </c>
      <c r="Y44" s="109">
        <f t="shared" si="20"/>
        <v>0</v>
      </c>
      <c r="Z44" s="109">
        <f t="shared" si="20"/>
        <v>4904609.3499999996</v>
      </c>
      <c r="AA44" s="109">
        <f t="shared" si="20"/>
        <v>786732.58</v>
      </c>
      <c r="AB44" s="109">
        <f t="shared" si="20"/>
        <v>5691341.9299999988</v>
      </c>
      <c r="AC44" s="109">
        <f t="shared" si="20"/>
        <v>797716.40333333344</v>
      </c>
      <c r="AD44" s="109">
        <f t="shared" si="20"/>
        <v>2095528.0699999998</v>
      </c>
    </row>
    <row r="45" spans="1:30" x14ac:dyDescent="0.25">
      <c r="A45" s="110" t="s">
        <v>184</v>
      </c>
      <c r="B45" s="124"/>
      <c r="C45" s="40"/>
      <c r="D45" s="989"/>
      <c r="E45" s="989"/>
      <c r="F45" s="989"/>
      <c r="G45" s="1010"/>
      <c r="H45" s="40"/>
      <c r="I45" s="40"/>
      <c r="J45" s="40"/>
      <c r="K45" s="188"/>
      <c r="L45" s="188"/>
      <c r="M45" s="109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40">
        <f t="shared" ref="AC45:AC55" si="21">M45-AB45</f>
        <v>0</v>
      </c>
      <c r="AD45" s="996">
        <f t="shared" si="18"/>
        <v>0</v>
      </c>
    </row>
    <row r="46" spans="1:30" x14ac:dyDescent="0.25">
      <c r="A46" s="110" t="s">
        <v>320</v>
      </c>
      <c r="B46" s="124"/>
      <c r="C46" s="40"/>
      <c r="D46" s="989"/>
      <c r="E46" s="989"/>
      <c r="F46" s="989"/>
      <c r="G46" s="1010"/>
      <c r="H46" s="40"/>
      <c r="I46" s="40"/>
      <c r="J46" s="40"/>
      <c r="K46" s="188"/>
      <c r="L46" s="188"/>
      <c r="M46" s="109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997">
        <f t="shared" ref="Z46:Z56" si="22">N46+O46+P46+Q46+R46+S46+T46+U46+V46</f>
        <v>0</v>
      </c>
      <c r="AA46" s="997">
        <f t="shared" ref="AA46:AA56" si="23">W46</f>
        <v>0</v>
      </c>
      <c r="AB46" s="716">
        <f t="shared" ref="AB46:AB56" si="24">Z46+AA46</f>
        <v>0</v>
      </c>
      <c r="AC46" s="40">
        <f t="shared" si="21"/>
        <v>0</v>
      </c>
      <c r="AD46" s="996">
        <f t="shared" si="18"/>
        <v>0</v>
      </c>
    </row>
    <row r="47" spans="1:30" x14ac:dyDescent="0.25">
      <c r="A47" s="190" t="s">
        <v>1033</v>
      </c>
      <c r="B47" s="777" t="s">
        <v>113</v>
      </c>
      <c r="C47" s="40"/>
      <c r="D47" s="989"/>
      <c r="E47" s="989"/>
      <c r="F47" s="989"/>
      <c r="G47" s="1010"/>
      <c r="H47" s="40"/>
      <c r="I47" s="40"/>
      <c r="J47" s="40"/>
      <c r="K47" s="188"/>
      <c r="L47" s="188"/>
      <c r="M47" s="109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997">
        <f t="shared" si="22"/>
        <v>0</v>
      </c>
      <c r="AA47" s="997">
        <f t="shared" si="23"/>
        <v>0</v>
      </c>
      <c r="AB47" s="716">
        <f t="shared" si="24"/>
        <v>0</v>
      </c>
      <c r="AC47" s="40">
        <f t="shared" si="21"/>
        <v>0</v>
      </c>
      <c r="AD47" s="996">
        <f t="shared" si="18"/>
        <v>0</v>
      </c>
    </row>
    <row r="48" spans="1:30" x14ac:dyDescent="0.25">
      <c r="A48" s="191" t="s">
        <v>301</v>
      </c>
      <c r="B48" s="777"/>
      <c r="C48" s="40">
        <v>40000</v>
      </c>
      <c r="D48" s="989"/>
      <c r="E48" s="989"/>
      <c r="F48" s="989"/>
      <c r="G48" s="1010">
        <f>-40000</f>
        <v>-40000</v>
      </c>
      <c r="H48" s="113">
        <f t="shared" ref="H48:H56" si="25">SUM(C48:G48)</f>
        <v>0</v>
      </c>
      <c r="I48" s="113">
        <f t="shared" ref="I48:I56" si="26">H48</f>
        <v>0</v>
      </c>
      <c r="J48" s="40">
        <f t="shared" ref="J48:J56" si="27">H48</f>
        <v>0</v>
      </c>
      <c r="K48" s="188"/>
      <c r="L48" s="188"/>
      <c r="M48" s="40">
        <f t="shared" ref="M48:M56" si="28">H48</f>
        <v>0</v>
      </c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997">
        <f t="shared" si="22"/>
        <v>0</v>
      </c>
      <c r="AA48" s="997">
        <f t="shared" si="23"/>
        <v>0</v>
      </c>
      <c r="AB48" s="716">
        <f t="shared" si="24"/>
        <v>0</v>
      </c>
      <c r="AC48" s="40">
        <f t="shared" si="21"/>
        <v>0</v>
      </c>
      <c r="AD48" s="996">
        <f t="shared" si="18"/>
        <v>0</v>
      </c>
    </row>
    <row r="49" spans="1:30" x14ac:dyDescent="0.25">
      <c r="A49" s="190" t="s">
        <v>241</v>
      </c>
      <c r="B49" s="777" t="s">
        <v>116</v>
      </c>
      <c r="C49" s="40"/>
      <c r="D49" s="989"/>
      <c r="E49" s="989"/>
      <c r="F49" s="989"/>
      <c r="G49" s="1010"/>
      <c r="H49" s="113">
        <f t="shared" si="25"/>
        <v>0</v>
      </c>
      <c r="I49" s="113">
        <f t="shared" si="26"/>
        <v>0</v>
      </c>
      <c r="J49" s="716">
        <f t="shared" si="27"/>
        <v>0</v>
      </c>
      <c r="K49" s="736"/>
      <c r="L49" s="736"/>
      <c r="M49" s="716">
        <f t="shared" si="28"/>
        <v>0</v>
      </c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997">
        <f t="shared" si="22"/>
        <v>0</v>
      </c>
      <c r="AA49" s="997">
        <f t="shared" si="23"/>
        <v>0</v>
      </c>
      <c r="AB49" s="716">
        <f t="shared" si="24"/>
        <v>0</v>
      </c>
      <c r="AC49" s="40">
        <f t="shared" si="21"/>
        <v>0</v>
      </c>
      <c r="AD49" s="996">
        <f t="shared" si="18"/>
        <v>0</v>
      </c>
    </row>
    <row r="50" spans="1:30" x14ac:dyDescent="0.25">
      <c r="A50" s="191" t="s">
        <v>1034</v>
      </c>
      <c r="B50" s="777"/>
      <c r="C50" s="40">
        <v>15000</v>
      </c>
      <c r="D50" s="989"/>
      <c r="E50" s="989"/>
      <c r="F50" s="989"/>
      <c r="G50" s="1010">
        <f>-15000</f>
        <v>-15000</v>
      </c>
      <c r="H50" s="113">
        <f t="shared" si="25"/>
        <v>0</v>
      </c>
      <c r="I50" s="113">
        <f t="shared" si="26"/>
        <v>0</v>
      </c>
      <c r="J50" s="716">
        <f t="shared" si="27"/>
        <v>0</v>
      </c>
      <c r="K50" s="736"/>
      <c r="L50" s="736"/>
      <c r="M50" s="716">
        <f t="shared" si="28"/>
        <v>0</v>
      </c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997">
        <f t="shared" si="22"/>
        <v>0</v>
      </c>
      <c r="AA50" s="997">
        <f t="shared" si="23"/>
        <v>0</v>
      </c>
      <c r="AB50" s="716">
        <f t="shared" si="24"/>
        <v>0</v>
      </c>
      <c r="AC50" s="40">
        <f t="shared" si="21"/>
        <v>0</v>
      </c>
      <c r="AD50" s="996">
        <f t="shared" si="18"/>
        <v>0</v>
      </c>
    </row>
    <row r="51" spans="1:30" x14ac:dyDescent="0.25">
      <c r="A51" s="778" t="s">
        <v>1036</v>
      </c>
      <c r="B51" s="782" t="s">
        <v>116</v>
      </c>
      <c r="C51" s="40">
        <v>45000</v>
      </c>
      <c r="D51" s="989"/>
      <c r="E51" s="989"/>
      <c r="F51" s="989"/>
      <c r="G51" s="1010">
        <f>-45000</f>
        <v>-45000</v>
      </c>
      <c r="H51" s="113">
        <f t="shared" si="25"/>
        <v>0</v>
      </c>
      <c r="I51" s="113">
        <f t="shared" si="26"/>
        <v>0</v>
      </c>
      <c r="J51" s="716">
        <f t="shared" si="27"/>
        <v>0</v>
      </c>
      <c r="K51" s="736"/>
      <c r="L51" s="736"/>
      <c r="M51" s="716">
        <f t="shared" si="28"/>
        <v>0</v>
      </c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997">
        <f t="shared" si="22"/>
        <v>0</v>
      </c>
      <c r="AA51" s="997">
        <f t="shared" si="23"/>
        <v>0</v>
      </c>
      <c r="AB51" s="716">
        <f t="shared" si="24"/>
        <v>0</v>
      </c>
      <c r="AC51" s="40">
        <f t="shared" si="21"/>
        <v>0</v>
      </c>
      <c r="AD51" s="996">
        <f t="shared" si="18"/>
        <v>0</v>
      </c>
    </row>
    <row r="52" spans="1:30" x14ac:dyDescent="0.25">
      <c r="A52" s="779" t="s">
        <v>1037</v>
      </c>
      <c r="B52" s="781"/>
      <c r="C52" s="40">
        <v>6465</v>
      </c>
      <c r="D52" s="989"/>
      <c r="E52" s="989"/>
      <c r="F52" s="989"/>
      <c r="G52" s="1010">
        <f>-6465</f>
        <v>-6465</v>
      </c>
      <c r="H52" s="113">
        <f t="shared" si="25"/>
        <v>0</v>
      </c>
      <c r="I52" s="113">
        <f t="shared" si="26"/>
        <v>0</v>
      </c>
      <c r="J52" s="716">
        <f t="shared" si="27"/>
        <v>0</v>
      </c>
      <c r="K52" s="736"/>
      <c r="L52" s="736"/>
      <c r="M52" s="716">
        <f t="shared" si="28"/>
        <v>0</v>
      </c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997">
        <f t="shared" si="22"/>
        <v>0</v>
      </c>
      <c r="AA52" s="997">
        <f t="shared" si="23"/>
        <v>0</v>
      </c>
      <c r="AB52" s="716">
        <f t="shared" si="24"/>
        <v>0</v>
      </c>
      <c r="AC52" s="40">
        <f t="shared" si="21"/>
        <v>0</v>
      </c>
      <c r="AD52" s="996">
        <f t="shared" si="18"/>
        <v>0</v>
      </c>
    </row>
    <row r="53" spans="1:30" x14ac:dyDescent="0.25">
      <c r="A53" s="779" t="s">
        <v>1038</v>
      </c>
      <c r="B53" s="781"/>
      <c r="C53" s="40">
        <v>45000</v>
      </c>
      <c r="D53" s="989"/>
      <c r="E53" s="989"/>
      <c r="F53" s="989"/>
      <c r="G53" s="1010">
        <f>-45000</f>
        <v>-45000</v>
      </c>
      <c r="H53" s="113">
        <f t="shared" si="25"/>
        <v>0</v>
      </c>
      <c r="I53" s="113">
        <f t="shared" si="26"/>
        <v>0</v>
      </c>
      <c r="J53" s="716">
        <f t="shared" si="27"/>
        <v>0</v>
      </c>
      <c r="K53" s="736"/>
      <c r="L53" s="736"/>
      <c r="M53" s="716">
        <f t="shared" si="28"/>
        <v>0</v>
      </c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997">
        <f t="shared" si="22"/>
        <v>0</v>
      </c>
      <c r="AA53" s="997">
        <f t="shared" si="23"/>
        <v>0</v>
      </c>
      <c r="AB53" s="716">
        <f t="shared" si="24"/>
        <v>0</v>
      </c>
      <c r="AC53" s="40">
        <f t="shared" si="21"/>
        <v>0</v>
      </c>
      <c r="AD53" s="996">
        <f t="shared" si="18"/>
        <v>0</v>
      </c>
    </row>
    <row r="54" spans="1:30" x14ac:dyDescent="0.25">
      <c r="A54" s="779" t="s">
        <v>1039</v>
      </c>
      <c r="B54" s="781"/>
      <c r="C54" s="40">
        <v>2000</v>
      </c>
      <c r="D54" s="989"/>
      <c r="E54" s="989"/>
      <c r="F54" s="989"/>
      <c r="G54" s="1010">
        <f>-2000</f>
        <v>-2000</v>
      </c>
      <c r="H54" s="113">
        <f t="shared" si="25"/>
        <v>0</v>
      </c>
      <c r="I54" s="113">
        <f t="shared" si="26"/>
        <v>0</v>
      </c>
      <c r="J54" s="716">
        <f t="shared" si="27"/>
        <v>0</v>
      </c>
      <c r="K54" s="736"/>
      <c r="L54" s="736"/>
      <c r="M54" s="716">
        <f t="shared" si="28"/>
        <v>0</v>
      </c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997">
        <f t="shared" si="22"/>
        <v>0</v>
      </c>
      <c r="AA54" s="997">
        <f t="shared" si="23"/>
        <v>0</v>
      </c>
      <c r="AB54" s="716">
        <f t="shared" si="24"/>
        <v>0</v>
      </c>
      <c r="AC54" s="40">
        <f t="shared" si="21"/>
        <v>0</v>
      </c>
      <c r="AD54" s="996">
        <f t="shared" si="18"/>
        <v>0</v>
      </c>
    </row>
    <row r="55" spans="1:30" x14ac:dyDescent="0.25">
      <c r="A55" s="778" t="s">
        <v>117</v>
      </c>
      <c r="B55" s="783" t="s">
        <v>118</v>
      </c>
      <c r="C55" s="40"/>
      <c r="D55" s="989"/>
      <c r="E55" s="989"/>
      <c r="F55" s="989"/>
      <c r="G55" s="1010"/>
      <c r="H55" s="113">
        <f t="shared" si="25"/>
        <v>0</v>
      </c>
      <c r="I55" s="113">
        <f t="shared" si="26"/>
        <v>0</v>
      </c>
      <c r="J55" s="716">
        <f t="shared" si="27"/>
        <v>0</v>
      </c>
      <c r="K55" s="736"/>
      <c r="L55" s="736"/>
      <c r="M55" s="716">
        <f t="shared" si="28"/>
        <v>0</v>
      </c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997">
        <f t="shared" si="22"/>
        <v>0</v>
      </c>
      <c r="AA55" s="997">
        <f t="shared" si="23"/>
        <v>0</v>
      </c>
      <c r="AB55" s="716">
        <f t="shared" si="24"/>
        <v>0</v>
      </c>
      <c r="AC55" s="40">
        <f t="shared" si="21"/>
        <v>0</v>
      </c>
      <c r="AD55" s="996">
        <f t="shared" si="18"/>
        <v>0</v>
      </c>
    </row>
    <row r="56" spans="1:30" x14ac:dyDescent="0.25">
      <c r="A56" s="780" t="s">
        <v>1040</v>
      </c>
      <c r="B56" s="781"/>
      <c r="C56" s="40">
        <v>25000</v>
      </c>
      <c r="D56" s="989"/>
      <c r="E56" s="989"/>
      <c r="F56" s="989"/>
      <c r="G56" s="1010"/>
      <c r="H56" s="113">
        <f t="shared" si="25"/>
        <v>25000</v>
      </c>
      <c r="I56" s="113">
        <f t="shared" si="26"/>
        <v>25000</v>
      </c>
      <c r="J56" s="716">
        <f t="shared" si="27"/>
        <v>25000</v>
      </c>
      <c r="K56" s="736"/>
      <c r="L56" s="736"/>
      <c r="M56" s="716">
        <f t="shared" si="28"/>
        <v>25000</v>
      </c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997">
        <f t="shared" si="22"/>
        <v>0</v>
      </c>
      <c r="AA56" s="997">
        <f t="shared" si="23"/>
        <v>0</v>
      </c>
      <c r="AB56" s="716">
        <f t="shared" si="24"/>
        <v>0</v>
      </c>
      <c r="AC56" s="989">
        <f t="shared" ref="AC56" si="29">M56-AB56</f>
        <v>25000</v>
      </c>
      <c r="AD56" s="996">
        <f t="shared" si="18"/>
        <v>25000</v>
      </c>
    </row>
    <row r="57" spans="1:30" s="745" customFormat="1" ht="16.5" x14ac:dyDescent="0.3">
      <c r="A57" s="128" t="s">
        <v>322</v>
      </c>
      <c r="B57" s="119"/>
      <c r="C57" s="298">
        <f t="shared" ref="C57:AD57" si="30">SUM(C47:C56)</f>
        <v>178465</v>
      </c>
      <c r="D57" s="298">
        <f t="shared" si="30"/>
        <v>0</v>
      </c>
      <c r="E57" s="298">
        <f t="shared" si="30"/>
        <v>0</v>
      </c>
      <c r="F57" s="298">
        <f t="shared" si="30"/>
        <v>0</v>
      </c>
      <c r="G57" s="298">
        <f t="shared" si="30"/>
        <v>-153465</v>
      </c>
      <c r="H57" s="298">
        <f t="shared" si="30"/>
        <v>25000</v>
      </c>
      <c r="I57" s="298">
        <f t="shared" si="30"/>
        <v>25000</v>
      </c>
      <c r="J57" s="298">
        <f t="shared" si="30"/>
        <v>25000</v>
      </c>
      <c r="K57" s="298">
        <f t="shared" si="30"/>
        <v>0</v>
      </c>
      <c r="L57" s="298">
        <f t="shared" si="30"/>
        <v>0</v>
      </c>
      <c r="M57" s="298">
        <f t="shared" si="30"/>
        <v>25000</v>
      </c>
      <c r="N57" s="298">
        <f t="shared" si="30"/>
        <v>0</v>
      </c>
      <c r="O57" s="298">
        <f t="shared" si="30"/>
        <v>0</v>
      </c>
      <c r="P57" s="298">
        <f t="shared" si="30"/>
        <v>0</v>
      </c>
      <c r="Q57" s="298">
        <f t="shared" si="30"/>
        <v>0</v>
      </c>
      <c r="R57" s="298">
        <f t="shared" si="30"/>
        <v>0</v>
      </c>
      <c r="S57" s="298">
        <f t="shared" si="30"/>
        <v>0</v>
      </c>
      <c r="T57" s="298">
        <f t="shared" si="30"/>
        <v>0</v>
      </c>
      <c r="U57" s="298">
        <f t="shared" si="30"/>
        <v>0</v>
      </c>
      <c r="V57" s="298">
        <f t="shared" si="30"/>
        <v>0</v>
      </c>
      <c r="W57" s="298">
        <f t="shared" si="30"/>
        <v>0</v>
      </c>
      <c r="X57" s="298">
        <f t="shared" si="30"/>
        <v>0</v>
      </c>
      <c r="Y57" s="298">
        <f t="shared" si="30"/>
        <v>0</v>
      </c>
      <c r="Z57" s="997">
        <f t="shared" ref="Z57" si="31">N57+O57+P57+Q57+R57+S57+T57+U57</f>
        <v>0</v>
      </c>
      <c r="AA57" s="997">
        <f t="shared" ref="AA57" si="32">V57</f>
        <v>0</v>
      </c>
      <c r="AB57" s="298">
        <f t="shared" si="30"/>
        <v>0</v>
      </c>
      <c r="AC57" s="298">
        <f t="shared" si="30"/>
        <v>25000</v>
      </c>
      <c r="AD57" s="298">
        <f t="shared" si="30"/>
        <v>25000</v>
      </c>
    </row>
    <row r="58" spans="1:30" ht="16.5" x14ac:dyDescent="0.3">
      <c r="A58" s="128" t="s">
        <v>319</v>
      </c>
      <c r="B58" s="124"/>
      <c r="C58" s="40"/>
      <c r="D58" s="989"/>
      <c r="E58" s="989"/>
      <c r="F58" s="989"/>
      <c r="G58" s="1010"/>
      <c r="H58" s="40"/>
      <c r="I58" s="40"/>
      <c r="J58" s="40"/>
      <c r="K58" s="188"/>
      <c r="L58" s="188"/>
      <c r="M58" s="109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997">
        <f t="shared" ref="Z58:Z65" si="33">N58+O58+P58+Q58+R58+S58+T58+U58+V58</f>
        <v>0</v>
      </c>
      <c r="AA58" s="997">
        <f t="shared" ref="AA58:AA65" si="34">W58</f>
        <v>0</v>
      </c>
      <c r="AB58" s="188"/>
      <c r="AC58" s="40">
        <f>M58-AB58</f>
        <v>0</v>
      </c>
      <c r="AD58" s="188"/>
    </row>
    <row r="59" spans="1:30" x14ac:dyDescent="0.25">
      <c r="A59" s="126" t="s">
        <v>110</v>
      </c>
      <c r="B59" s="67" t="s">
        <v>111</v>
      </c>
      <c r="C59" s="40"/>
      <c r="D59" s="989"/>
      <c r="E59" s="989"/>
      <c r="F59" s="989"/>
      <c r="G59" s="1010"/>
      <c r="H59" s="40"/>
      <c r="I59" s="40"/>
      <c r="J59" s="40"/>
      <c r="K59" s="188"/>
      <c r="L59" s="188"/>
      <c r="M59" s="109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997">
        <f t="shared" si="33"/>
        <v>0</v>
      </c>
      <c r="AA59" s="997">
        <f t="shared" si="34"/>
        <v>0</v>
      </c>
      <c r="AB59" s="716">
        <f t="shared" ref="AB59:AB65" si="35">Z59+AA59</f>
        <v>0</v>
      </c>
      <c r="AC59" s="40">
        <f>M59-AB59</f>
        <v>0</v>
      </c>
      <c r="AD59" s="322">
        <f t="shared" ref="AD59:AD65" si="36">H59-AB59</f>
        <v>0</v>
      </c>
    </row>
    <row r="60" spans="1:30" x14ac:dyDescent="0.25">
      <c r="A60" s="329" t="s">
        <v>185</v>
      </c>
      <c r="B60" s="67"/>
      <c r="C60" s="328">
        <v>7500</v>
      </c>
      <c r="D60" s="328"/>
      <c r="E60" s="328"/>
      <c r="F60" s="328"/>
      <c r="G60" s="1024"/>
      <c r="H60" s="113">
        <f t="shared" ref="H60:H65" si="37">SUM(C60:G60)</f>
        <v>7500</v>
      </c>
      <c r="I60" s="328">
        <f>H60</f>
        <v>7500</v>
      </c>
      <c r="J60" s="40">
        <f t="shared" ref="J60:J64" si="38">H60</f>
        <v>7500</v>
      </c>
      <c r="K60" s="188"/>
      <c r="L60" s="188"/>
      <c r="M60" s="40">
        <f t="shared" ref="M60:M64" si="39">H60</f>
        <v>7500</v>
      </c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997">
        <f t="shared" si="33"/>
        <v>0</v>
      </c>
      <c r="AA60" s="997">
        <f t="shared" si="34"/>
        <v>0</v>
      </c>
      <c r="AB60" s="716">
        <f t="shared" si="35"/>
        <v>0</v>
      </c>
      <c r="AC60" s="989">
        <f t="shared" ref="AC60:AC65" si="40">M60-AB60</f>
        <v>7500</v>
      </c>
      <c r="AD60" s="996">
        <f t="shared" si="36"/>
        <v>7500</v>
      </c>
    </row>
    <row r="61" spans="1:30" x14ac:dyDescent="0.25">
      <c r="A61" s="125" t="s">
        <v>112</v>
      </c>
      <c r="B61" s="67" t="s">
        <v>113</v>
      </c>
      <c r="C61" s="328"/>
      <c r="D61" s="328"/>
      <c r="E61" s="328"/>
      <c r="F61" s="328"/>
      <c r="G61" s="1024"/>
      <c r="H61" s="113">
        <f t="shared" si="37"/>
        <v>0</v>
      </c>
      <c r="I61" s="328">
        <f t="shared" ref="I61:I65" si="41">H61</f>
        <v>0</v>
      </c>
      <c r="J61" s="40">
        <f t="shared" si="38"/>
        <v>0</v>
      </c>
      <c r="K61" s="188"/>
      <c r="L61" s="188"/>
      <c r="M61" s="40">
        <f t="shared" si="39"/>
        <v>0</v>
      </c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997">
        <f t="shared" si="33"/>
        <v>0</v>
      </c>
      <c r="AA61" s="997">
        <f t="shared" si="34"/>
        <v>0</v>
      </c>
      <c r="AB61" s="716">
        <f t="shared" si="35"/>
        <v>0</v>
      </c>
      <c r="AC61" s="989">
        <f t="shared" si="40"/>
        <v>0</v>
      </c>
      <c r="AD61" s="996">
        <f t="shared" si="36"/>
        <v>0</v>
      </c>
    </row>
    <row r="62" spans="1:30" x14ac:dyDescent="0.25">
      <c r="A62" s="329" t="s">
        <v>415</v>
      </c>
      <c r="B62" s="67"/>
      <c r="C62" s="328">
        <v>35000</v>
      </c>
      <c r="D62" s="328"/>
      <c r="E62" s="328"/>
      <c r="F62" s="328"/>
      <c r="G62" s="1024"/>
      <c r="H62" s="113">
        <f t="shared" si="37"/>
        <v>35000</v>
      </c>
      <c r="I62" s="328">
        <f t="shared" si="41"/>
        <v>35000</v>
      </c>
      <c r="J62" s="40">
        <f t="shared" si="38"/>
        <v>35000</v>
      </c>
      <c r="K62" s="188"/>
      <c r="L62" s="188"/>
      <c r="M62" s="40">
        <f t="shared" si="39"/>
        <v>35000</v>
      </c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997">
        <f t="shared" si="33"/>
        <v>0</v>
      </c>
      <c r="AA62" s="997">
        <f t="shared" si="34"/>
        <v>0</v>
      </c>
      <c r="AB62" s="716">
        <f t="shared" si="35"/>
        <v>0</v>
      </c>
      <c r="AC62" s="989">
        <f t="shared" si="40"/>
        <v>35000</v>
      </c>
      <c r="AD62" s="996">
        <f t="shared" si="36"/>
        <v>35000</v>
      </c>
    </row>
    <row r="63" spans="1:30" x14ac:dyDescent="0.25">
      <c r="A63" s="120" t="s">
        <v>115</v>
      </c>
      <c r="B63" s="129" t="s">
        <v>116</v>
      </c>
      <c r="C63" s="40"/>
      <c r="D63" s="989"/>
      <c r="E63" s="989"/>
      <c r="F63" s="989"/>
      <c r="G63" s="1010"/>
      <c r="H63" s="113">
        <f t="shared" si="37"/>
        <v>0</v>
      </c>
      <c r="I63" s="328">
        <f t="shared" si="41"/>
        <v>0</v>
      </c>
      <c r="J63" s="40">
        <f t="shared" si="38"/>
        <v>0</v>
      </c>
      <c r="K63" s="188"/>
      <c r="L63" s="188"/>
      <c r="M63" s="40">
        <f t="shared" si="39"/>
        <v>0</v>
      </c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997">
        <f t="shared" si="33"/>
        <v>0</v>
      </c>
      <c r="AA63" s="997">
        <f t="shared" si="34"/>
        <v>0</v>
      </c>
      <c r="AB63" s="716">
        <f t="shared" si="35"/>
        <v>0</v>
      </c>
      <c r="AC63" s="989">
        <f t="shared" si="40"/>
        <v>0</v>
      </c>
      <c r="AD63" s="996">
        <f t="shared" si="36"/>
        <v>0</v>
      </c>
    </row>
    <row r="64" spans="1:30" x14ac:dyDescent="0.25">
      <c r="A64" s="330" t="s">
        <v>416</v>
      </c>
      <c r="B64" s="100"/>
      <c r="C64" s="40">
        <v>50000</v>
      </c>
      <c r="D64" s="989"/>
      <c r="E64" s="989"/>
      <c r="F64" s="989"/>
      <c r="G64" s="1010"/>
      <c r="H64" s="113">
        <f t="shared" si="37"/>
        <v>50000</v>
      </c>
      <c r="I64" s="328">
        <f t="shared" si="41"/>
        <v>50000</v>
      </c>
      <c r="J64" s="40">
        <f t="shared" si="38"/>
        <v>50000</v>
      </c>
      <c r="K64" s="188"/>
      <c r="L64" s="188"/>
      <c r="M64" s="40">
        <f t="shared" si="39"/>
        <v>50000</v>
      </c>
      <c r="N64" s="188"/>
      <c r="O64" s="188"/>
      <c r="P64" s="188"/>
      <c r="Q64" s="188"/>
      <c r="R64" s="188"/>
      <c r="S64" s="188"/>
      <c r="T64" s="188"/>
      <c r="U64" s="188">
        <v>34350</v>
      </c>
      <c r="V64" s="188"/>
      <c r="W64" s="188"/>
      <c r="X64" s="188"/>
      <c r="Y64" s="188"/>
      <c r="Z64" s="997">
        <f t="shared" si="33"/>
        <v>34350</v>
      </c>
      <c r="AA64" s="997">
        <f t="shared" si="34"/>
        <v>0</v>
      </c>
      <c r="AB64" s="716">
        <f t="shared" si="35"/>
        <v>34350</v>
      </c>
      <c r="AC64" s="989">
        <f t="shared" si="40"/>
        <v>15650</v>
      </c>
      <c r="AD64" s="996">
        <f t="shared" si="36"/>
        <v>15650</v>
      </c>
    </row>
    <row r="65" spans="1:30" x14ac:dyDescent="0.25">
      <c r="A65" s="330" t="s">
        <v>417</v>
      </c>
      <c r="B65" s="100"/>
      <c r="C65" s="40">
        <v>80000</v>
      </c>
      <c r="D65" s="989"/>
      <c r="E65" s="989"/>
      <c r="F65" s="989"/>
      <c r="G65" s="1010"/>
      <c r="H65" s="113">
        <f t="shared" si="37"/>
        <v>80000</v>
      </c>
      <c r="I65" s="328">
        <f t="shared" si="41"/>
        <v>80000</v>
      </c>
      <c r="J65" s="40">
        <f t="shared" ref="J65" si="42">H65</f>
        <v>80000</v>
      </c>
      <c r="K65" s="188"/>
      <c r="L65" s="188"/>
      <c r="M65" s="40">
        <f t="shared" ref="M65" si="43">H65</f>
        <v>80000</v>
      </c>
      <c r="N65" s="188"/>
      <c r="O65" s="188"/>
      <c r="P65" s="188"/>
      <c r="Q65" s="188"/>
      <c r="R65" s="188"/>
      <c r="S65" s="997">
        <v>11200</v>
      </c>
      <c r="T65" s="188"/>
      <c r="U65" s="188"/>
      <c r="V65" s="188"/>
      <c r="W65" s="188"/>
      <c r="X65" s="188"/>
      <c r="Y65" s="188"/>
      <c r="Z65" s="997">
        <f t="shared" si="33"/>
        <v>11200</v>
      </c>
      <c r="AA65" s="997">
        <f t="shared" si="34"/>
        <v>0</v>
      </c>
      <c r="AB65" s="716">
        <f t="shared" si="35"/>
        <v>11200</v>
      </c>
      <c r="AC65" s="989">
        <f t="shared" si="40"/>
        <v>68800</v>
      </c>
      <c r="AD65" s="996">
        <f t="shared" si="36"/>
        <v>68800</v>
      </c>
    </row>
    <row r="66" spans="1:30" s="745" customFormat="1" ht="16.5" x14ac:dyDescent="0.3">
      <c r="A66" s="128" t="s">
        <v>326</v>
      </c>
      <c r="B66" s="784"/>
      <c r="C66" s="298">
        <f>SUM(C60:C65)</f>
        <v>172500</v>
      </c>
      <c r="D66" s="298">
        <f>SUM(D60:D65)</f>
        <v>0</v>
      </c>
      <c r="E66" s="298">
        <f>SUM(E60:E65)</f>
        <v>0</v>
      </c>
      <c r="F66" s="298">
        <f t="shared" ref="F66:G66" si="44">SUM(F60:F65)</f>
        <v>0</v>
      </c>
      <c r="G66" s="298">
        <f t="shared" si="44"/>
        <v>0</v>
      </c>
      <c r="H66" s="298">
        <f t="shared" ref="H66:AD66" si="45">SUM(H60:H65)</f>
        <v>172500</v>
      </c>
      <c r="I66" s="298">
        <f t="shared" si="45"/>
        <v>172500</v>
      </c>
      <c r="J66" s="298">
        <f t="shared" si="45"/>
        <v>172500</v>
      </c>
      <c r="K66" s="298">
        <f t="shared" si="45"/>
        <v>0</v>
      </c>
      <c r="L66" s="298">
        <f t="shared" si="45"/>
        <v>0</v>
      </c>
      <c r="M66" s="298">
        <f t="shared" si="45"/>
        <v>172500</v>
      </c>
      <c r="N66" s="298">
        <f t="shared" si="45"/>
        <v>0</v>
      </c>
      <c r="O66" s="298">
        <f t="shared" si="45"/>
        <v>0</v>
      </c>
      <c r="P66" s="298">
        <f t="shared" si="45"/>
        <v>0</v>
      </c>
      <c r="Q66" s="298">
        <f t="shared" si="45"/>
        <v>0</v>
      </c>
      <c r="R66" s="298">
        <f t="shared" si="45"/>
        <v>0</v>
      </c>
      <c r="S66" s="298">
        <f t="shared" si="45"/>
        <v>11200</v>
      </c>
      <c r="T66" s="298">
        <f t="shared" si="45"/>
        <v>0</v>
      </c>
      <c r="U66" s="298">
        <f t="shared" si="45"/>
        <v>34350</v>
      </c>
      <c r="V66" s="298">
        <f t="shared" si="45"/>
        <v>0</v>
      </c>
      <c r="W66" s="298">
        <f t="shared" si="45"/>
        <v>0</v>
      </c>
      <c r="X66" s="298">
        <f t="shared" si="45"/>
        <v>0</v>
      </c>
      <c r="Y66" s="298">
        <f t="shared" si="45"/>
        <v>0</v>
      </c>
      <c r="Z66" s="298">
        <f>SUM(Z60:Z65)</f>
        <v>45550</v>
      </c>
      <c r="AA66" s="298">
        <f t="shared" si="45"/>
        <v>0</v>
      </c>
      <c r="AB66" s="298">
        <f t="shared" si="45"/>
        <v>45550</v>
      </c>
      <c r="AC66" s="298">
        <f t="shared" si="45"/>
        <v>126950</v>
      </c>
      <c r="AD66" s="298">
        <f t="shared" si="45"/>
        <v>126950</v>
      </c>
    </row>
    <row r="67" spans="1:30" s="712" customFormat="1" x14ac:dyDescent="0.25">
      <c r="A67" s="785" t="s">
        <v>190</v>
      </c>
      <c r="B67" s="786"/>
      <c r="C67" s="787">
        <f t="shared" ref="C67:AD67" si="46">C57+C66</f>
        <v>350965</v>
      </c>
      <c r="D67" s="787">
        <f t="shared" ref="D67" si="47">D57+D66</f>
        <v>0</v>
      </c>
      <c r="E67" s="787">
        <f t="shared" ref="E67" si="48">E57+E66</f>
        <v>0</v>
      </c>
      <c r="F67" s="787">
        <f t="shared" ref="F67:G67" si="49">F57+F66</f>
        <v>0</v>
      </c>
      <c r="G67" s="787">
        <f t="shared" si="49"/>
        <v>-153465</v>
      </c>
      <c r="H67" s="787">
        <f t="shared" si="46"/>
        <v>197500</v>
      </c>
      <c r="I67" s="787">
        <f t="shared" si="46"/>
        <v>197500</v>
      </c>
      <c r="J67" s="787">
        <f t="shared" si="46"/>
        <v>197500</v>
      </c>
      <c r="K67" s="787">
        <f t="shared" si="46"/>
        <v>0</v>
      </c>
      <c r="L67" s="787">
        <f t="shared" si="46"/>
        <v>0</v>
      </c>
      <c r="M67" s="787">
        <f t="shared" si="46"/>
        <v>197500</v>
      </c>
      <c r="N67" s="787">
        <f t="shared" si="46"/>
        <v>0</v>
      </c>
      <c r="O67" s="787">
        <f t="shared" si="46"/>
        <v>0</v>
      </c>
      <c r="P67" s="787">
        <f t="shared" si="46"/>
        <v>0</v>
      </c>
      <c r="Q67" s="787">
        <f t="shared" si="46"/>
        <v>0</v>
      </c>
      <c r="R67" s="787">
        <f t="shared" si="46"/>
        <v>0</v>
      </c>
      <c r="S67" s="787">
        <f t="shared" si="46"/>
        <v>11200</v>
      </c>
      <c r="T67" s="787">
        <f t="shared" si="46"/>
        <v>0</v>
      </c>
      <c r="U67" s="787">
        <f t="shared" si="46"/>
        <v>34350</v>
      </c>
      <c r="V67" s="787">
        <f t="shared" si="46"/>
        <v>0</v>
      </c>
      <c r="W67" s="787">
        <f t="shared" si="46"/>
        <v>0</v>
      </c>
      <c r="X67" s="787">
        <f t="shared" si="46"/>
        <v>0</v>
      </c>
      <c r="Y67" s="787">
        <f t="shared" si="46"/>
        <v>0</v>
      </c>
      <c r="Z67" s="787">
        <f t="shared" si="46"/>
        <v>45550</v>
      </c>
      <c r="AA67" s="787">
        <f t="shared" si="46"/>
        <v>0</v>
      </c>
      <c r="AB67" s="787">
        <f t="shared" si="46"/>
        <v>45550</v>
      </c>
      <c r="AC67" s="787">
        <f t="shared" si="46"/>
        <v>151950</v>
      </c>
      <c r="AD67" s="787">
        <f t="shared" si="46"/>
        <v>151950</v>
      </c>
    </row>
    <row r="68" spans="1:30" s="712" customFormat="1" ht="15.75" thickBot="1" x14ac:dyDescent="0.3">
      <c r="A68" s="788" t="s">
        <v>160</v>
      </c>
      <c r="B68" s="789"/>
      <c r="C68" s="790">
        <f t="shared" ref="C68:AD68" si="50">+C67+C44+C26</f>
        <v>11689447.93</v>
      </c>
      <c r="D68" s="790">
        <f t="shared" ref="D68" si="51">+D67+D44+D26</f>
        <v>10120</v>
      </c>
      <c r="E68" s="790">
        <f t="shared" ref="E68" si="52">+E67+E44+E26</f>
        <v>150154.83000000002</v>
      </c>
      <c r="F68" s="790">
        <f t="shared" ref="F68:G68" si="53">+F67+F44+F26</f>
        <v>-15000</v>
      </c>
      <c r="G68" s="790">
        <f t="shared" si="53"/>
        <v>-153465</v>
      </c>
      <c r="H68" s="790">
        <f t="shared" si="50"/>
        <v>11681257.76</v>
      </c>
      <c r="I68" s="790">
        <f t="shared" si="50"/>
        <v>8821318.3200000003</v>
      </c>
      <c r="J68" s="790">
        <f t="shared" si="50"/>
        <v>1154479.8133333335</v>
      </c>
      <c r="K68" s="790">
        <f t="shared" si="50"/>
        <v>0</v>
      </c>
      <c r="L68" s="790">
        <f t="shared" si="50"/>
        <v>0</v>
      </c>
      <c r="M68" s="790">
        <f t="shared" si="50"/>
        <v>9778298.1333333328</v>
      </c>
      <c r="N68" s="790">
        <f t="shared" si="50"/>
        <v>523924.07</v>
      </c>
      <c r="O68" s="790">
        <f t="shared" si="50"/>
        <v>720108.7</v>
      </c>
      <c r="P68" s="790">
        <f t="shared" si="50"/>
        <v>587178.85000000009</v>
      </c>
      <c r="Q68" s="790">
        <f t="shared" si="50"/>
        <v>1042527.1100000001</v>
      </c>
      <c r="R68" s="790">
        <f t="shared" si="50"/>
        <v>884483.74</v>
      </c>
      <c r="S68" s="790">
        <f t="shared" si="50"/>
        <v>1120190.57</v>
      </c>
      <c r="T68" s="790">
        <f t="shared" si="50"/>
        <v>845230.71</v>
      </c>
      <c r="U68" s="790">
        <f t="shared" si="50"/>
        <v>787918.7</v>
      </c>
      <c r="V68" s="790">
        <f t="shared" si="50"/>
        <v>911301.55</v>
      </c>
      <c r="W68" s="790">
        <f t="shared" si="50"/>
        <v>1045316.45</v>
      </c>
      <c r="X68" s="790">
        <f t="shared" si="50"/>
        <v>0</v>
      </c>
      <c r="Y68" s="790">
        <f t="shared" si="50"/>
        <v>0</v>
      </c>
      <c r="Z68" s="790">
        <f t="shared" si="50"/>
        <v>7422864</v>
      </c>
      <c r="AA68" s="790">
        <f t="shared" si="50"/>
        <v>1045316.45</v>
      </c>
      <c r="AB68" s="790">
        <f t="shared" si="50"/>
        <v>8468180.4499999993</v>
      </c>
      <c r="AC68" s="790">
        <f t="shared" si="50"/>
        <v>1310117.6833333336</v>
      </c>
      <c r="AD68" s="790">
        <f t="shared" si="50"/>
        <v>3213077.31</v>
      </c>
    </row>
    <row r="69" spans="1:30" ht="15.75" thickTop="1" x14ac:dyDescent="0.25"/>
    <row r="71" spans="1:30" ht="20.25" customHeight="1" x14ac:dyDescent="0.25">
      <c r="A71" s="21" t="s">
        <v>354</v>
      </c>
      <c r="B71" s="30"/>
      <c r="C71" s="35"/>
      <c r="D71" s="35"/>
      <c r="E71" s="35"/>
      <c r="F71" s="35"/>
      <c r="G71" s="35"/>
      <c r="H71" s="35"/>
      <c r="I71" s="35"/>
      <c r="J71" s="35"/>
      <c r="AC71" s="259" t="s">
        <v>357</v>
      </c>
    </row>
    <row r="72" spans="1:30" x14ac:dyDescent="0.25">
      <c r="B72" s="32"/>
      <c r="C72" s="36"/>
      <c r="D72" s="36"/>
      <c r="E72" s="36"/>
      <c r="F72" s="36"/>
      <c r="G72" s="1026"/>
      <c r="H72" s="36"/>
      <c r="I72" s="36"/>
      <c r="J72" s="36"/>
    </row>
    <row r="73" spans="1:30" x14ac:dyDescent="0.25">
      <c r="A73" s="258" t="s">
        <v>355</v>
      </c>
      <c r="B73" s="14"/>
      <c r="C73" s="31"/>
      <c r="D73" s="31"/>
      <c r="E73" s="31"/>
      <c r="F73" s="31"/>
      <c r="G73" s="1027"/>
      <c r="H73" s="31"/>
      <c r="I73" s="31"/>
      <c r="J73" s="31"/>
      <c r="AC73" s="260" t="s">
        <v>358</v>
      </c>
    </row>
    <row r="74" spans="1:30" x14ac:dyDescent="0.25">
      <c r="A74" s="259" t="s">
        <v>356</v>
      </c>
      <c r="AC74" s="259" t="s">
        <v>359</v>
      </c>
    </row>
  </sheetData>
  <mergeCells count="3">
    <mergeCell ref="A3:AD3"/>
    <mergeCell ref="A2:AD2"/>
    <mergeCell ref="A1:AD1"/>
  </mergeCells>
  <printOptions horizontalCentered="1" verticalCentered="1" headings="1"/>
  <pageMargins left="0.81496062999999996" right="0.25" top="0.35433070866141703" bottom="0.15748031496063" header="0.118110236220472" footer="0.118110236220472"/>
  <pageSetup paperSize="5" scale="65" orientation="landscape" r:id="rId1"/>
  <rowBreaks count="1" manualBreakCount="1">
    <brk id="3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view="pageBreakPreview" zoomScale="87" zoomScaleNormal="100" zoomScaleSheetLayoutView="87" workbookViewId="0">
      <pane xSplit="1" topLeftCell="P1" activePane="topRight" state="frozen"/>
      <selection pane="topRight" activeCell="AG9" sqref="AG9"/>
    </sheetView>
  </sheetViews>
  <sheetFormatPr defaultRowHeight="15" outlineLevelCol="1" x14ac:dyDescent="0.25"/>
  <cols>
    <col min="1" max="1" width="48.7109375" style="21" customWidth="1"/>
    <col min="2" max="2" width="12" style="21" customWidth="1"/>
    <col min="3" max="3" width="14.140625" style="21" customWidth="1"/>
    <col min="4" max="5" width="14.140625" style="987" customWidth="1"/>
    <col min="6" max="8" width="16.42578125" style="987" customWidth="1"/>
    <col min="9" max="11" width="14.140625" style="987" customWidth="1"/>
    <col min="12" max="12" width="14.140625" style="1220" customWidth="1"/>
    <col min="13" max="13" width="14.140625" style="987" customWidth="1"/>
    <col min="14" max="14" width="14.7109375" style="21" customWidth="1"/>
    <col min="15" max="15" width="15" style="21" customWidth="1"/>
    <col min="16" max="16" width="14.140625" style="21" customWidth="1"/>
    <col min="17" max="17" width="13.7109375" style="21" hidden="1" customWidth="1"/>
    <col min="18" max="18" width="12.28515625" style="21" hidden="1" customWidth="1"/>
    <col min="19" max="19" width="16.42578125" style="21" customWidth="1"/>
    <col min="20" max="20" width="15.5703125" style="21" hidden="1" customWidth="1" outlineLevel="1"/>
    <col min="21" max="21" width="15.7109375" style="21" hidden="1" customWidth="1" outlineLevel="1"/>
    <col min="22" max="22" width="14.140625" style="21" hidden="1" customWidth="1" outlineLevel="1"/>
    <col min="23" max="23" width="15.85546875" style="21" hidden="1" customWidth="1" outlineLevel="1"/>
    <col min="24" max="24" width="12.85546875" style="21" hidden="1" customWidth="1" outlineLevel="1"/>
    <col min="25" max="25" width="16.28515625" style="21" hidden="1" customWidth="1" outlineLevel="1"/>
    <col min="26" max="26" width="14.5703125" style="21" hidden="1" customWidth="1" outlineLevel="1"/>
    <col min="27" max="27" width="13.7109375" style="21" hidden="1" customWidth="1" outlineLevel="1"/>
    <col min="28" max="28" width="13.28515625" style="21" hidden="1" customWidth="1" outlineLevel="1"/>
    <col min="29" max="29" width="16.28515625" style="21" hidden="1" customWidth="1" outlineLevel="1"/>
    <col min="30" max="30" width="8.7109375" style="21" hidden="1" customWidth="1" outlineLevel="1"/>
    <col min="31" max="31" width="9.5703125" style="21" hidden="1" customWidth="1" outlineLevel="1"/>
    <col min="32" max="32" width="14.140625" style="21" customWidth="1" collapsed="1"/>
    <col min="33" max="33" width="12.7109375" style="21" customWidth="1"/>
    <col min="34" max="34" width="14" style="21" customWidth="1"/>
    <col min="35" max="35" width="14.140625" style="21" customWidth="1"/>
    <col min="36" max="36" width="15.7109375" style="1090" customWidth="1"/>
    <col min="37" max="16384" width="9.140625" style="21"/>
  </cols>
  <sheetData>
    <row r="1" spans="1:36" x14ac:dyDescent="0.25">
      <c r="A1" s="1432" t="s">
        <v>352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1432"/>
      <c r="M1" s="1432"/>
      <c r="N1" s="1432"/>
      <c r="O1" s="1432"/>
      <c r="P1" s="1432"/>
      <c r="Q1" s="1432"/>
      <c r="R1" s="1432"/>
      <c r="S1" s="1432"/>
      <c r="T1" s="1432"/>
      <c r="U1" s="1432"/>
      <c r="V1" s="1432"/>
      <c r="W1" s="1432"/>
      <c r="X1" s="1432"/>
      <c r="Y1" s="1432"/>
      <c r="Z1" s="1432"/>
      <c r="AA1" s="1432"/>
      <c r="AB1" s="1432"/>
      <c r="AC1" s="1432"/>
      <c r="AD1" s="1432"/>
      <c r="AE1" s="1432"/>
      <c r="AF1" s="1432"/>
      <c r="AG1" s="1432"/>
      <c r="AH1" s="1432"/>
      <c r="AI1" s="1432"/>
      <c r="AJ1" s="1432"/>
    </row>
    <row r="2" spans="1:36" x14ac:dyDescent="0.25">
      <c r="A2" s="1432" t="s">
        <v>353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1432"/>
      <c r="Y2" s="1432"/>
      <c r="Z2" s="1432"/>
      <c r="AA2" s="1432"/>
      <c r="AB2" s="1432"/>
      <c r="AC2" s="1432"/>
      <c r="AD2" s="1432"/>
      <c r="AE2" s="1432"/>
      <c r="AF2" s="1432"/>
      <c r="AG2" s="1432"/>
      <c r="AH2" s="1432"/>
      <c r="AI2" s="1432"/>
      <c r="AJ2" s="1432"/>
    </row>
    <row r="3" spans="1:36" x14ac:dyDescent="0.25">
      <c r="A3" s="1434" t="str">
        <f>MA!A3</f>
        <v>For the Period October 1-31, 2021</v>
      </c>
      <c r="B3" s="1434"/>
      <c r="C3" s="1434"/>
      <c r="D3" s="1434"/>
      <c r="E3" s="1434"/>
      <c r="F3" s="1434"/>
      <c r="G3" s="1434"/>
      <c r="H3" s="1434"/>
      <c r="I3" s="1434"/>
      <c r="J3" s="1434"/>
      <c r="K3" s="1434"/>
      <c r="L3" s="1434"/>
      <c r="M3" s="1434"/>
      <c r="N3" s="1434"/>
      <c r="O3" s="1434"/>
      <c r="P3" s="1434"/>
      <c r="Q3" s="1434"/>
      <c r="R3" s="1434"/>
      <c r="S3" s="1434"/>
      <c r="T3" s="1434"/>
      <c r="U3" s="1434"/>
      <c r="V3" s="1434"/>
      <c r="W3" s="1434"/>
      <c r="X3" s="1434"/>
      <c r="Y3" s="1434"/>
      <c r="Z3" s="1434"/>
      <c r="AA3" s="1434"/>
      <c r="AB3" s="1434"/>
      <c r="AC3" s="1434"/>
      <c r="AD3" s="1434"/>
      <c r="AE3" s="1434"/>
      <c r="AF3" s="1434"/>
      <c r="AG3" s="1434"/>
      <c r="AH3" s="1434"/>
      <c r="AI3" s="1434"/>
      <c r="AJ3" s="1434"/>
    </row>
    <row r="4" spans="1:36" ht="26.25" x14ac:dyDescent="0.25">
      <c r="A4" s="71" t="s">
        <v>347</v>
      </c>
      <c r="B4" s="71" t="s">
        <v>2</v>
      </c>
      <c r="C4" s="71" t="s">
        <v>133</v>
      </c>
      <c r="D4" s="1073" t="s">
        <v>1204</v>
      </c>
      <c r="E4" s="71" t="s">
        <v>1384</v>
      </c>
      <c r="F4" s="71" t="s">
        <v>1321</v>
      </c>
      <c r="G4" s="1073" t="s">
        <v>1204</v>
      </c>
      <c r="H4" s="1073" t="s">
        <v>1204</v>
      </c>
      <c r="I4" s="1073" t="s">
        <v>1204</v>
      </c>
      <c r="J4" s="1073" t="s">
        <v>1337</v>
      </c>
      <c r="K4" s="1073" t="s">
        <v>1204</v>
      </c>
      <c r="L4" s="1208" t="s">
        <v>1338</v>
      </c>
      <c r="M4" s="1073" t="s">
        <v>1240</v>
      </c>
      <c r="N4" s="38" t="s">
        <v>1</v>
      </c>
      <c r="O4" s="38" t="s">
        <v>316</v>
      </c>
      <c r="P4" s="38" t="s">
        <v>314</v>
      </c>
      <c r="Q4" s="108" t="s">
        <v>135</v>
      </c>
      <c r="R4" s="108"/>
      <c r="S4" s="41" t="s">
        <v>346</v>
      </c>
      <c r="T4" s="39"/>
      <c r="U4" s="39"/>
      <c r="V4" s="39"/>
      <c r="W4" s="39"/>
      <c r="X4" s="109"/>
      <c r="Y4" s="109"/>
      <c r="Z4" s="109"/>
      <c r="AA4" s="109"/>
      <c r="AB4" s="109"/>
      <c r="AC4" s="109"/>
      <c r="AD4" s="109"/>
      <c r="AE4" s="109"/>
      <c r="AF4" s="74" t="s">
        <v>316</v>
      </c>
      <c r="AG4" s="74" t="s">
        <v>348</v>
      </c>
      <c r="AH4" s="74" t="s">
        <v>1</v>
      </c>
      <c r="AI4" s="74" t="s">
        <v>131</v>
      </c>
      <c r="AJ4" s="318" t="s">
        <v>131</v>
      </c>
    </row>
    <row r="5" spans="1:36" ht="33.75" customHeight="1" thickBot="1" x14ac:dyDescent="0.3">
      <c r="A5" s="729"/>
      <c r="B5" s="729" t="s">
        <v>3</v>
      </c>
      <c r="C5" s="729" t="s">
        <v>134</v>
      </c>
      <c r="D5" s="1146" t="s">
        <v>1390</v>
      </c>
      <c r="E5" s="1273" t="s">
        <v>1383</v>
      </c>
      <c r="F5" s="729" t="s">
        <v>1322</v>
      </c>
      <c r="G5" s="1146" t="s">
        <v>1330</v>
      </c>
      <c r="H5" s="1146" t="s">
        <v>1354</v>
      </c>
      <c r="I5" s="1146" t="s">
        <v>1184</v>
      </c>
      <c r="J5" s="1147">
        <v>44389</v>
      </c>
      <c r="K5" s="1146" t="s">
        <v>1346</v>
      </c>
      <c r="L5" s="1209" t="s">
        <v>1339</v>
      </c>
      <c r="M5" s="1147">
        <v>44305</v>
      </c>
      <c r="N5" s="96" t="s">
        <v>314</v>
      </c>
      <c r="O5" s="96" t="s">
        <v>314</v>
      </c>
      <c r="P5" s="96" t="s">
        <v>315</v>
      </c>
      <c r="Q5" s="97" t="s">
        <v>134</v>
      </c>
      <c r="R5" s="97" t="s">
        <v>136</v>
      </c>
      <c r="S5" s="98" t="s">
        <v>315</v>
      </c>
      <c r="T5" s="98" t="s">
        <v>0</v>
      </c>
      <c r="U5" s="98" t="s">
        <v>120</v>
      </c>
      <c r="V5" s="98" t="s">
        <v>121</v>
      </c>
      <c r="W5" s="98" t="s">
        <v>122</v>
      </c>
      <c r="X5" s="98" t="s">
        <v>123</v>
      </c>
      <c r="Y5" s="98" t="s">
        <v>124</v>
      </c>
      <c r="Z5" s="98" t="s">
        <v>125</v>
      </c>
      <c r="AA5" s="98" t="s">
        <v>126</v>
      </c>
      <c r="AB5" s="98" t="s">
        <v>127</v>
      </c>
      <c r="AC5" s="98" t="s">
        <v>128</v>
      </c>
      <c r="AD5" s="98" t="s">
        <v>129</v>
      </c>
      <c r="AE5" s="98" t="s">
        <v>130</v>
      </c>
      <c r="AF5" s="75" t="s">
        <v>317</v>
      </c>
      <c r="AG5" s="75" t="s">
        <v>315</v>
      </c>
      <c r="AH5" s="75" t="s">
        <v>317</v>
      </c>
      <c r="AI5" s="75" t="s">
        <v>314</v>
      </c>
      <c r="AJ5" s="1308" t="s">
        <v>132</v>
      </c>
    </row>
    <row r="6" spans="1:36" ht="15.75" thickTop="1" x14ac:dyDescent="0.25">
      <c r="A6" s="319" t="s">
        <v>362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121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320"/>
      <c r="AI6" s="320"/>
      <c r="AJ6" s="1309"/>
    </row>
    <row r="7" spans="1:36" x14ac:dyDescent="0.25">
      <c r="A7" s="110" t="s">
        <v>4</v>
      </c>
      <c r="B7" s="49"/>
      <c r="C7" s="188"/>
      <c r="D7" s="937"/>
      <c r="E7" s="937"/>
      <c r="F7" s="937"/>
      <c r="G7" s="937"/>
      <c r="H7" s="937"/>
      <c r="I7" s="937"/>
      <c r="J7" s="937"/>
      <c r="K7" s="937"/>
      <c r="L7" s="1211"/>
      <c r="M7" s="937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09"/>
      <c r="AI7" s="40"/>
      <c r="AJ7" s="1229"/>
    </row>
    <row r="8" spans="1:36" x14ac:dyDescent="0.25">
      <c r="A8" s="111" t="s">
        <v>167</v>
      </c>
      <c r="B8" s="112" t="s">
        <v>6</v>
      </c>
      <c r="C8" s="113">
        <f>13470155.5</f>
        <v>13470155.5</v>
      </c>
      <c r="D8" s="113"/>
      <c r="E8" s="113">
        <f>-208182</f>
        <v>-208182</v>
      </c>
      <c r="F8" s="113">
        <f>-416364</f>
        <v>-416364</v>
      </c>
      <c r="G8" s="113"/>
      <c r="H8" s="113"/>
      <c r="I8" s="113"/>
      <c r="J8" s="113">
        <f>146510</f>
        <v>146510</v>
      </c>
      <c r="K8" s="113"/>
      <c r="L8" s="1212">
        <f>-832728</f>
        <v>-832728</v>
      </c>
      <c r="M8" s="113"/>
      <c r="N8" s="113">
        <f>SUM(C8:M8)</f>
        <v>12159391.5</v>
      </c>
      <c r="O8" s="113">
        <f>N8/12*9</f>
        <v>9119543.625</v>
      </c>
      <c r="P8" s="113">
        <f>N8/12</f>
        <v>1013282.625</v>
      </c>
      <c r="Q8" s="188"/>
      <c r="R8" s="188"/>
      <c r="S8" s="40">
        <f>O8+P8</f>
        <v>10132826.25</v>
      </c>
      <c r="T8" s="265">
        <v>893959.5</v>
      </c>
      <c r="U8" s="265">
        <v>894008</v>
      </c>
      <c r="V8" s="265">
        <v>894008</v>
      </c>
      <c r="W8" s="265">
        <v>971919</v>
      </c>
      <c r="X8" s="265">
        <v>914421.2</v>
      </c>
      <c r="Y8" s="265">
        <v>914759</v>
      </c>
      <c r="Z8" s="265">
        <v>914759</v>
      </c>
      <c r="AA8" s="265">
        <v>914759</v>
      </c>
      <c r="AB8" s="265">
        <v>914759</v>
      </c>
      <c r="AC8" s="265">
        <v>914759</v>
      </c>
      <c r="AD8" s="265"/>
      <c r="AE8" s="265"/>
      <c r="AF8" s="265">
        <f>T8+U8+V8+W8+X8+Y8+Z8+AA8+AB8</f>
        <v>8227351.7000000002</v>
      </c>
      <c r="AG8" s="265">
        <f>AC8</f>
        <v>914759</v>
      </c>
      <c r="AH8" s="40">
        <f>AF8+AG8</f>
        <v>9142110.6999999993</v>
      </c>
      <c r="AI8" s="40">
        <f>S8-AH8</f>
        <v>990715.55000000075</v>
      </c>
      <c r="AJ8" s="1230">
        <f>N8-AH8</f>
        <v>3017280.8000000007</v>
      </c>
    </row>
    <row r="9" spans="1:36" x14ac:dyDescent="0.25">
      <c r="A9" s="110" t="s">
        <v>168</v>
      </c>
      <c r="B9" s="114"/>
      <c r="C9" s="345"/>
      <c r="D9" s="345"/>
      <c r="E9" s="345"/>
      <c r="F9" s="345"/>
      <c r="G9" s="345"/>
      <c r="H9" s="345"/>
      <c r="I9" s="345"/>
      <c r="J9" s="345"/>
      <c r="K9" s="345"/>
      <c r="L9" s="1213"/>
      <c r="M9" s="345"/>
      <c r="N9" s="113">
        <f t="shared" ref="N9:N25" si="0">SUM(C9:M9)</f>
        <v>0</v>
      </c>
      <c r="O9" s="113">
        <f t="shared" ref="O9:O25" si="1">N9/12*9</f>
        <v>0</v>
      </c>
      <c r="P9" s="345"/>
      <c r="Q9" s="188"/>
      <c r="R9" s="188"/>
      <c r="S9" s="40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997">
        <f t="shared" ref="AF9:AF25" si="2">T9+U9+V9+W9+X9+Y9+Z9+AA9+AB9</f>
        <v>0</v>
      </c>
      <c r="AG9" s="997">
        <f t="shared" ref="AG9:AG25" si="3">AC9</f>
        <v>0</v>
      </c>
      <c r="AH9" s="40">
        <f t="shared" ref="AH9:AH23" si="4">AF9+AG9</f>
        <v>0</v>
      </c>
      <c r="AI9" s="40">
        <f t="shared" ref="AI9:AI25" si="5">S9-AH9</f>
        <v>0</v>
      </c>
      <c r="AJ9" s="1230">
        <f t="shared" ref="AJ9:AJ25" si="6">N9-AH9</f>
        <v>0</v>
      </c>
    </row>
    <row r="10" spans="1:36" x14ac:dyDescent="0.25">
      <c r="A10" s="115" t="s">
        <v>10</v>
      </c>
      <c r="B10" s="116" t="s">
        <v>11</v>
      </c>
      <c r="C10" s="40">
        <f>456000</f>
        <v>456000</v>
      </c>
      <c r="D10" s="989"/>
      <c r="E10" s="989">
        <f>-6000</f>
        <v>-6000</v>
      </c>
      <c r="F10" s="989">
        <f>-12000</f>
        <v>-12000</v>
      </c>
      <c r="G10" s="989"/>
      <c r="H10" s="989"/>
      <c r="I10" s="989"/>
      <c r="J10" s="989">
        <f>10000</f>
        <v>10000</v>
      </c>
      <c r="K10" s="989"/>
      <c r="L10" s="1214">
        <f>-24000</f>
        <v>-24000</v>
      </c>
      <c r="M10" s="989"/>
      <c r="N10" s="113">
        <f t="shared" si="0"/>
        <v>424000</v>
      </c>
      <c r="O10" s="113">
        <f t="shared" si="1"/>
        <v>318000</v>
      </c>
      <c r="P10" s="113">
        <f t="shared" ref="P10:P24" si="7">N10/12</f>
        <v>35333.333333333336</v>
      </c>
      <c r="Q10" s="188"/>
      <c r="R10" s="188"/>
      <c r="S10" s="40">
        <f t="shared" ref="S10:S25" si="8">O10+P10</f>
        <v>353333.33333333331</v>
      </c>
      <c r="T10" s="265">
        <v>32000</v>
      </c>
      <c r="U10" s="265">
        <v>32000</v>
      </c>
      <c r="V10" s="265">
        <v>32000</v>
      </c>
      <c r="W10" s="265">
        <v>32000</v>
      </c>
      <c r="X10" s="265">
        <v>32000</v>
      </c>
      <c r="Y10" s="265">
        <v>32000</v>
      </c>
      <c r="Z10" s="265">
        <v>32000</v>
      </c>
      <c r="AA10" s="265">
        <v>32000</v>
      </c>
      <c r="AB10" s="265">
        <v>32000</v>
      </c>
      <c r="AC10" s="265">
        <v>32000</v>
      </c>
      <c r="AD10" s="265"/>
      <c r="AE10" s="265"/>
      <c r="AF10" s="997">
        <f t="shared" si="2"/>
        <v>288000</v>
      </c>
      <c r="AG10" s="997">
        <f t="shared" si="3"/>
        <v>32000</v>
      </c>
      <c r="AH10" s="40">
        <f t="shared" si="4"/>
        <v>320000</v>
      </c>
      <c r="AI10" s="40">
        <f t="shared" si="5"/>
        <v>33333.333333333314</v>
      </c>
      <c r="AJ10" s="1230">
        <f t="shared" si="6"/>
        <v>104000</v>
      </c>
    </row>
    <row r="11" spans="1:36" x14ac:dyDescent="0.25">
      <c r="A11" s="115" t="s">
        <v>12</v>
      </c>
      <c r="B11" s="116" t="s">
        <v>13</v>
      </c>
      <c r="C11" s="40">
        <v>1089600</v>
      </c>
      <c r="D11" s="989"/>
      <c r="E11" s="989">
        <f>-18000</f>
        <v>-18000</v>
      </c>
      <c r="F11" s="989">
        <v>-36000</v>
      </c>
      <c r="G11" s="989"/>
      <c r="H11" s="989"/>
      <c r="I11" s="989"/>
      <c r="J11" s="989"/>
      <c r="K11" s="989"/>
      <c r="L11" s="1214"/>
      <c r="M11" s="989"/>
      <c r="N11" s="113">
        <f t="shared" si="0"/>
        <v>1035600</v>
      </c>
      <c r="O11" s="113">
        <f t="shared" si="1"/>
        <v>776700</v>
      </c>
      <c r="P11" s="113">
        <f t="shared" si="7"/>
        <v>86300</v>
      </c>
      <c r="Q11" s="188"/>
      <c r="R11" s="188"/>
      <c r="S11" s="40">
        <f t="shared" si="8"/>
        <v>863000</v>
      </c>
      <c r="T11" s="265">
        <v>72800</v>
      </c>
      <c r="U11" s="265">
        <v>72800</v>
      </c>
      <c r="V11" s="265">
        <v>72800</v>
      </c>
      <c r="W11" s="265">
        <v>72800</v>
      </c>
      <c r="X11" s="265">
        <v>72800</v>
      </c>
      <c r="Y11" s="265">
        <v>72800</v>
      </c>
      <c r="Z11" s="265">
        <v>72800</v>
      </c>
      <c r="AA11" s="265">
        <v>72800</v>
      </c>
      <c r="AB11" s="1257">
        <v>72800</v>
      </c>
      <c r="AC11" s="265">
        <v>72800</v>
      </c>
      <c r="AD11" s="265"/>
      <c r="AE11" s="265"/>
      <c r="AF11" s="997">
        <f t="shared" si="2"/>
        <v>655200</v>
      </c>
      <c r="AG11" s="997">
        <f t="shared" si="3"/>
        <v>72800</v>
      </c>
      <c r="AH11" s="40">
        <f t="shared" si="4"/>
        <v>728000</v>
      </c>
      <c r="AI11" s="40">
        <f t="shared" si="5"/>
        <v>135000</v>
      </c>
      <c r="AJ11" s="1230">
        <f t="shared" si="6"/>
        <v>307600</v>
      </c>
    </row>
    <row r="12" spans="1:36" x14ac:dyDescent="0.25">
      <c r="A12" s="115" t="s">
        <v>14</v>
      </c>
      <c r="B12" s="116" t="s">
        <v>15</v>
      </c>
      <c r="C12" s="40">
        <f>1089600</f>
        <v>1089600</v>
      </c>
      <c r="D12" s="989"/>
      <c r="E12" s="989">
        <f>-18000</f>
        <v>-18000</v>
      </c>
      <c r="F12" s="989">
        <v>-36000</v>
      </c>
      <c r="G12" s="989"/>
      <c r="H12" s="989"/>
      <c r="I12" s="989"/>
      <c r="J12" s="989"/>
      <c r="K12" s="989"/>
      <c r="L12" s="1214"/>
      <c r="M12" s="989"/>
      <c r="N12" s="113">
        <f t="shared" si="0"/>
        <v>1035600</v>
      </c>
      <c r="O12" s="113">
        <f t="shared" si="1"/>
        <v>776700</v>
      </c>
      <c r="P12" s="113">
        <f t="shared" si="7"/>
        <v>86300</v>
      </c>
      <c r="Q12" s="188"/>
      <c r="R12" s="188"/>
      <c r="S12" s="40">
        <f t="shared" si="8"/>
        <v>863000</v>
      </c>
      <c r="T12" s="265">
        <v>72800</v>
      </c>
      <c r="U12" s="265">
        <v>72800</v>
      </c>
      <c r="V12" s="265">
        <v>72800</v>
      </c>
      <c r="W12" s="265">
        <v>72800</v>
      </c>
      <c r="X12" s="265">
        <v>72800</v>
      </c>
      <c r="Y12" s="265">
        <v>72800</v>
      </c>
      <c r="Z12" s="265">
        <v>72800</v>
      </c>
      <c r="AA12" s="265">
        <v>72800</v>
      </c>
      <c r="AB12" s="1257">
        <v>72800</v>
      </c>
      <c r="AC12" s="265">
        <v>72800</v>
      </c>
      <c r="AD12" s="265"/>
      <c r="AE12" s="265"/>
      <c r="AF12" s="997">
        <f t="shared" si="2"/>
        <v>655200</v>
      </c>
      <c r="AG12" s="997">
        <f t="shared" si="3"/>
        <v>72800</v>
      </c>
      <c r="AH12" s="40">
        <f t="shared" si="4"/>
        <v>728000</v>
      </c>
      <c r="AI12" s="40">
        <f t="shared" si="5"/>
        <v>135000</v>
      </c>
      <c r="AJ12" s="1230">
        <f t="shared" si="6"/>
        <v>307600</v>
      </c>
    </row>
    <row r="13" spans="1:36" x14ac:dyDescent="0.25">
      <c r="A13" s="115" t="s">
        <v>16</v>
      </c>
      <c r="B13" s="116" t="s">
        <v>17</v>
      </c>
      <c r="C13" s="40">
        <f>114000</f>
        <v>114000</v>
      </c>
      <c r="D13" s="989"/>
      <c r="E13" s="989"/>
      <c r="F13" s="989"/>
      <c r="G13" s="989"/>
      <c r="H13" s="989"/>
      <c r="I13" s="989"/>
      <c r="J13" s="989"/>
      <c r="K13" s="989"/>
      <c r="L13" s="1214"/>
      <c r="M13" s="989"/>
      <c r="N13" s="113">
        <f t="shared" si="0"/>
        <v>114000</v>
      </c>
      <c r="O13" s="113">
        <f>N13/12*11</f>
        <v>104500</v>
      </c>
      <c r="P13" s="113">
        <f t="shared" si="7"/>
        <v>9500</v>
      </c>
      <c r="Q13" s="188"/>
      <c r="R13" s="188"/>
      <c r="S13" s="40">
        <f t="shared" si="8"/>
        <v>114000</v>
      </c>
      <c r="T13" s="265">
        <v>86000</v>
      </c>
      <c r="U13" s="265"/>
      <c r="V13" s="265"/>
      <c r="W13" s="265"/>
      <c r="X13" s="265"/>
      <c r="Y13" s="265"/>
      <c r="Z13" s="265"/>
      <c r="AA13" s="265"/>
      <c r="AB13" s="265"/>
      <c r="AC13" s="265">
        <v>3300</v>
      </c>
      <c r="AD13" s="265"/>
      <c r="AE13" s="265"/>
      <c r="AF13" s="997">
        <f t="shared" si="2"/>
        <v>86000</v>
      </c>
      <c r="AG13" s="997">
        <f t="shared" si="3"/>
        <v>3300</v>
      </c>
      <c r="AH13" s="40">
        <f t="shared" si="4"/>
        <v>89300</v>
      </c>
      <c r="AI13" s="40">
        <f t="shared" si="5"/>
        <v>24700</v>
      </c>
      <c r="AJ13" s="1230">
        <f t="shared" si="6"/>
        <v>24700</v>
      </c>
    </row>
    <row r="14" spans="1:36" x14ac:dyDescent="0.25">
      <c r="A14" s="111" t="s">
        <v>24</v>
      </c>
      <c r="B14" s="116" t="s">
        <v>23</v>
      </c>
      <c r="C14" s="40">
        <f>1122941</f>
        <v>1122941</v>
      </c>
      <c r="D14" s="989"/>
      <c r="E14" s="989"/>
      <c r="F14" s="989"/>
      <c r="G14" s="989"/>
      <c r="H14" s="989"/>
      <c r="I14" s="989"/>
      <c r="J14" s="989">
        <f>29302</f>
        <v>29302</v>
      </c>
      <c r="K14" s="989"/>
      <c r="L14" s="1214"/>
      <c r="M14" s="989"/>
      <c r="N14" s="113">
        <f t="shared" si="0"/>
        <v>1152243</v>
      </c>
      <c r="O14" s="113">
        <f t="shared" si="1"/>
        <v>864182.25</v>
      </c>
      <c r="P14" s="113">
        <f>N14/12</f>
        <v>96020.25</v>
      </c>
      <c r="Q14" s="188"/>
      <c r="R14" s="188"/>
      <c r="S14" s="40">
        <f>O14+P14</f>
        <v>960202.5</v>
      </c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997">
        <f t="shared" si="2"/>
        <v>0</v>
      </c>
      <c r="AG14" s="997">
        <f t="shared" si="3"/>
        <v>0</v>
      </c>
      <c r="AH14" s="40">
        <f>AF14+AG14</f>
        <v>0</v>
      </c>
      <c r="AI14" s="40">
        <f>S14-AH14</f>
        <v>960202.5</v>
      </c>
      <c r="AJ14" s="1230">
        <f>N14-AH14</f>
        <v>1152243</v>
      </c>
    </row>
    <row r="15" spans="1:36" x14ac:dyDescent="0.25">
      <c r="A15" s="111" t="s">
        <v>25</v>
      </c>
      <c r="B15" s="116" t="s">
        <v>26</v>
      </c>
      <c r="C15" s="40">
        <f>95000</f>
        <v>95000</v>
      </c>
      <c r="D15" s="989"/>
      <c r="E15" s="989"/>
      <c r="F15" s="989"/>
      <c r="G15" s="989"/>
      <c r="H15" s="989"/>
      <c r="I15" s="989"/>
      <c r="J15" s="989">
        <f>5000</f>
        <v>5000</v>
      </c>
      <c r="K15" s="989"/>
      <c r="L15" s="1214"/>
      <c r="M15" s="989"/>
      <c r="N15" s="113">
        <f t="shared" si="0"/>
        <v>100000</v>
      </c>
      <c r="O15" s="113">
        <f t="shared" si="1"/>
        <v>75000</v>
      </c>
      <c r="P15" s="113">
        <f>N15/12</f>
        <v>8333.3333333333339</v>
      </c>
      <c r="Q15" s="188"/>
      <c r="R15" s="188"/>
      <c r="S15" s="40">
        <f>O15+P15</f>
        <v>83333.333333333328</v>
      </c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997">
        <f t="shared" si="2"/>
        <v>0</v>
      </c>
      <c r="AG15" s="997">
        <f t="shared" si="3"/>
        <v>0</v>
      </c>
      <c r="AH15" s="40">
        <f>AF15+AG15</f>
        <v>0</v>
      </c>
      <c r="AI15" s="40">
        <f>S15-AH15</f>
        <v>83333.333333333328</v>
      </c>
      <c r="AJ15" s="1230">
        <f>N15-AH15</f>
        <v>100000</v>
      </c>
    </row>
    <row r="16" spans="1:36" x14ac:dyDescent="0.25">
      <c r="A16" s="110" t="s">
        <v>409</v>
      </c>
      <c r="B16" s="111"/>
      <c r="C16" s="40"/>
      <c r="D16" s="989"/>
      <c r="E16" s="989"/>
      <c r="F16" s="989"/>
      <c r="G16" s="989"/>
      <c r="H16" s="989"/>
      <c r="I16" s="989"/>
      <c r="J16" s="989"/>
      <c r="K16" s="989"/>
      <c r="L16" s="1214"/>
      <c r="M16" s="989"/>
      <c r="N16" s="113">
        <f t="shared" si="0"/>
        <v>0</v>
      </c>
      <c r="O16" s="113">
        <f t="shared" si="1"/>
        <v>0</v>
      </c>
      <c r="P16" s="113">
        <f t="shared" si="7"/>
        <v>0</v>
      </c>
      <c r="Q16" s="188"/>
      <c r="R16" s="188"/>
      <c r="S16" s="40">
        <f t="shared" si="8"/>
        <v>0</v>
      </c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997">
        <f t="shared" si="2"/>
        <v>0</v>
      </c>
      <c r="AG16" s="997">
        <f t="shared" si="3"/>
        <v>0</v>
      </c>
      <c r="AH16" s="40">
        <f t="shared" si="4"/>
        <v>0</v>
      </c>
      <c r="AI16" s="40">
        <f t="shared" si="5"/>
        <v>0</v>
      </c>
      <c r="AJ16" s="1230">
        <f t="shared" si="6"/>
        <v>0</v>
      </c>
    </row>
    <row r="17" spans="1:36" x14ac:dyDescent="0.25">
      <c r="A17" s="62" t="s">
        <v>169</v>
      </c>
      <c r="B17" s="116" t="s">
        <v>19</v>
      </c>
      <c r="C17" s="40">
        <f>95000</f>
        <v>95000</v>
      </c>
      <c r="D17" s="989"/>
      <c r="E17" s="989"/>
      <c r="F17" s="989"/>
      <c r="G17" s="989"/>
      <c r="H17" s="989"/>
      <c r="I17" s="989"/>
      <c r="J17" s="989">
        <f>5000</f>
        <v>5000</v>
      </c>
      <c r="K17" s="989"/>
      <c r="L17" s="1214"/>
      <c r="M17" s="989"/>
      <c r="N17" s="113">
        <f t="shared" si="0"/>
        <v>100000</v>
      </c>
      <c r="O17" s="113">
        <f t="shared" si="1"/>
        <v>75000</v>
      </c>
      <c r="P17" s="113">
        <f t="shared" si="7"/>
        <v>8333.3333333333339</v>
      </c>
      <c r="Q17" s="188"/>
      <c r="R17" s="188"/>
      <c r="S17" s="40">
        <f t="shared" si="8"/>
        <v>83333.333333333328</v>
      </c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997">
        <f t="shared" si="2"/>
        <v>0</v>
      </c>
      <c r="AG17" s="997">
        <f t="shared" si="3"/>
        <v>0</v>
      </c>
      <c r="AH17" s="40">
        <f t="shared" si="4"/>
        <v>0</v>
      </c>
      <c r="AI17" s="40">
        <f t="shared" si="5"/>
        <v>83333.333333333328</v>
      </c>
      <c r="AJ17" s="1230">
        <f t="shared" si="6"/>
        <v>100000</v>
      </c>
    </row>
    <row r="18" spans="1:36" x14ac:dyDescent="0.25">
      <c r="A18" s="111" t="s">
        <v>170</v>
      </c>
      <c r="B18" s="116" t="s">
        <v>23</v>
      </c>
      <c r="C18" s="40">
        <f>1122941</f>
        <v>1122941</v>
      </c>
      <c r="D18" s="989"/>
      <c r="E18" s="989"/>
      <c r="F18" s="989"/>
      <c r="G18" s="989"/>
      <c r="H18" s="989"/>
      <c r="I18" s="989"/>
      <c r="J18" s="989"/>
      <c r="K18" s="989"/>
      <c r="L18" s="1214"/>
      <c r="M18" s="989"/>
      <c r="N18" s="113">
        <f t="shared" si="0"/>
        <v>1122941</v>
      </c>
      <c r="O18" s="113">
        <f t="shared" si="1"/>
        <v>842205.75</v>
      </c>
      <c r="P18" s="113">
        <f t="shared" si="7"/>
        <v>93578.416666666672</v>
      </c>
      <c r="Q18" s="188"/>
      <c r="R18" s="188"/>
      <c r="S18" s="40">
        <f t="shared" si="8"/>
        <v>935784.16666666663</v>
      </c>
      <c r="T18" s="265"/>
      <c r="U18" s="265"/>
      <c r="V18" s="265"/>
      <c r="W18" s="265"/>
      <c r="X18" s="1151">
        <v>914759</v>
      </c>
      <c r="Y18" s="265"/>
      <c r="Z18" s="265"/>
      <c r="AA18" s="265"/>
      <c r="AB18" s="265"/>
      <c r="AC18" s="265"/>
      <c r="AD18" s="265"/>
      <c r="AE18" s="265"/>
      <c r="AF18" s="997">
        <f t="shared" si="2"/>
        <v>914759</v>
      </c>
      <c r="AG18" s="997">
        <f t="shared" si="3"/>
        <v>0</v>
      </c>
      <c r="AH18" s="40">
        <f t="shared" si="4"/>
        <v>914759</v>
      </c>
      <c r="AI18" s="40">
        <f t="shared" si="5"/>
        <v>21025.166666666628</v>
      </c>
      <c r="AJ18" s="1230">
        <f t="shared" si="6"/>
        <v>208182</v>
      </c>
    </row>
    <row r="19" spans="1:36" x14ac:dyDescent="0.25">
      <c r="A19" s="110" t="s">
        <v>370</v>
      </c>
      <c r="B19" s="114"/>
      <c r="C19" s="40"/>
      <c r="D19" s="989"/>
      <c r="E19" s="989"/>
      <c r="F19" s="989"/>
      <c r="G19" s="989"/>
      <c r="H19" s="989"/>
      <c r="I19" s="989"/>
      <c r="J19" s="989"/>
      <c r="K19" s="989"/>
      <c r="L19" s="1214"/>
      <c r="M19" s="989"/>
      <c r="N19" s="113">
        <f t="shared" si="0"/>
        <v>0</v>
      </c>
      <c r="O19" s="113">
        <f t="shared" si="1"/>
        <v>0</v>
      </c>
      <c r="P19" s="113">
        <f t="shared" si="7"/>
        <v>0</v>
      </c>
      <c r="Q19" s="188"/>
      <c r="R19" s="188"/>
      <c r="S19" s="40">
        <f t="shared" si="8"/>
        <v>0</v>
      </c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997">
        <f t="shared" si="2"/>
        <v>0</v>
      </c>
      <c r="AG19" s="997">
        <f t="shared" si="3"/>
        <v>0</v>
      </c>
      <c r="AH19" s="40">
        <f t="shared" si="4"/>
        <v>0</v>
      </c>
      <c r="AI19" s="40">
        <f t="shared" si="5"/>
        <v>0</v>
      </c>
      <c r="AJ19" s="1230">
        <f t="shared" si="6"/>
        <v>0</v>
      </c>
    </row>
    <row r="20" spans="1:36" x14ac:dyDescent="0.25">
      <c r="A20" s="117" t="s">
        <v>171</v>
      </c>
      <c r="B20" s="116" t="s">
        <v>29</v>
      </c>
      <c r="C20" s="40">
        <f>1616418.66</f>
        <v>1616418.66</v>
      </c>
      <c r="D20" s="989"/>
      <c r="E20" s="989">
        <f>-24981.84</f>
        <v>-24981.84</v>
      </c>
      <c r="F20" s="989">
        <v>-49963.68</v>
      </c>
      <c r="G20" s="989"/>
      <c r="H20" s="989"/>
      <c r="I20" s="989"/>
      <c r="J20" s="989">
        <v>17581.2</v>
      </c>
      <c r="K20" s="989"/>
      <c r="L20" s="1214">
        <f>-99927.36</f>
        <v>-99927.360000000001</v>
      </c>
      <c r="M20" s="989"/>
      <c r="N20" s="113">
        <f t="shared" si="0"/>
        <v>1459126.9799999997</v>
      </c>
      <c r="O20" s="113">
        <f t="shared" si="1"/>
        <v>1094345.2349999999</v>
      </c>
      <c r="P20" s="113">
        <f t="shared" si="7"/>
        <v>121593.91499999998</v>
      </c>
      <c r="Q20" s="188"/>
      <c r="R20" s="188"/>
      <c r="S20" s="40">
        <f t="shared" si="8"/>
        <v>1215939.1499999999</v>
      </c>
      <c r="T20" s="776">
        <v>90807.66</v>
      </c>
      <c r="U20" s="776">
        <v>90813.48</v>
      </c>
      <c r="V20" s="1078">
        <v>90807.66</v>
      </c>
      <c r="W20" s="265">
        <v>99911.22</v>
      </c>
      <c r="X20" s="1152">
        <v>92980.68</v>
      </c>
      <c r="Y20" s="265">
        <v>92980.68</v>
      </c>
      <c r="Z20" s="1170">
        <v>92980.68</v>
      </c>
      <c r="AA20" s="1170">
        <v>92980.68</v>
      </c>
      <c r="AB20" s="1257">
        <v>92980.68</v>
      </c>
      <c r="AC20" s="1279">
        <v>92980.68</v>
      </c>
      <c r="AD20" s="265"/>
      <c r="AE20" s="265"/>
      <c r="AF20" s="997">
        <f t="shared" si="2"/>
        <v>837243.41999999993</v>
      </c>
      <c r="AG20" s="997">
        <f t="shared" si="3"/>
        <v>92980.68</v>
      </c>
      <c r="AH20" s="40">
        <f t="shared" si="4"/>
        <v>930224.09999999986</v>
      </c>
      <c r="AI20" s="40">
        <f t="shared" si="5"/>
        <v>285715.05000000005</v>
      </c>
      <c r="AJ20" s="1230">
        <f t="shared" si="6"/>
        <v>528902.87999999989</v>
      </c>
    </row>
    <row r="21" spans="1:36" x14ac:dyDescent="0.25">
      <c r="A21" s="117" t="s">
        <v>172</v>
      </c>
      <c r="B21" s="116" t="s">
        <v>31</v>
      </c>
      <c r="C21" s="40">
        <v>269403.11</v>
      </c>
      <c r="D21" s="989"/>
      <c r="E21" s="989">
        <f>-4163.64</f>
        <v>-4163.6400000000003</v>
      </c>
      <c r="F21" s="989">
        <v>-8327.2800000000007</v>
      </c>
      <c r="G21" s="989"/>
      <c r="H21" s="989"/>
      <c r="I21" s="989"/>
      <c r="J21" s="989">
        <v>2930.2</v>
      </c>
      <c r="K21" s="989"/>
      <c r="L21" s="1214"/>
      <c r="M21" s="989"/>
      <c r="N21" s="113">
        <f t="shared" si="0"/>
        <v>259842.38999999998</v>
      </c>
      <c r="O21" s="113">
        <f t="shared" si="1"/>
        <v>194881.79249999998</v>
      </c>
      <c r="P21" s="113">
        <f t="shared" si="7"/>
        <v>21653.532499999998</v>
      </c>
      <c r="Q21" s="188"/>
      <c r="R21" s="188"/>
      <c r="S21" s="40">
        <f t="shared" si="8"/>
        <v>216535.32499999998</v>
      </c>
      <c r="T21" s="776">
        <v>15134.61</v>
      </c>
      <c r="U21" s="776">
        <v>15135.58</v>
      </c>
      <c r="V21" s="1078">
        <v>15134.61</v>
      </c>
      <c r="W21" s="265">
        <v>16651.87</v>
      </c>
      <c r="X21" s="1152">
        <v>15496.78</v>
      </c>
      <c r="Y21" s="265">
        <v>15496.78</v>
      </c>
      <c r="Z21" s="1170">
        <v>15496.78</v>
      </c>
      <c r="AA21" s="1170">
        <v>15496.78</v>
      </c>
      <c r="AB21" s="1257">
        <v>11695.65</v>
      </c>
      <c r="AC21" s="1279">
        <v>15496.78</v>
      </c>
      <c r="AD21" s="265"/>
      <c r="AE21" s="265"/>
      <c r="AF21" s="997">
        <f t="shared" si="2"/>
        <v>135739.44</v>
      </c>
      <c r="AG21" s="997">
        <f t="shared" si="3"/>
        <v>15496.78</v>
      </c>
      <c r="AH21" s="40">
        <f t="shared" si="4"/>
        <v>151236.22</v>
      </c>
      <c r="AI21" s="40">
        <f t="shared" si="5"/>
        <v>65299.104999999981</v>
      </c>
      <c r="AJ21" s="1230">
        <f t="shared" si="6"/>
        <v>108606.16999999998</v>
      </c>
    </row>
    <row r="22" spans="1:36" x14ac:dyDescent="0.25">
      <c r="A22" s="117" t="s">
        <v>173</v>
      </c>
      <c r="B22" s="116" t="s">
        <v>33</v>
      </c>
      <c r="C22" s="40">
        <v>232003.96</v>
      </c>
      <c r="D22" s="989"/>
      <c r="E22" s="989">
        <f>-3643.2</f>
        <v>-3643.2</v>
      </c>
      <c r="F22" s="989">
        <v>-7286.37</v>
      </c>
      <c r="G22" s="989"/>
      <c r="H22" s="989"/>
      <c r="I22" s="989"/>
      <c r="J22" s="989">
        <v>2563.9299999999998</v>
      </c>
      <c r="K22" s="989"/>
      <c r="L22" s="1214"/>
      <c r="M22" s="989"/>
      <c r="N22" s="113">
        <f t="shared" si="0"/>
        <v>223638.31999999998</v>
      </c>
      <c r="O22" s="113">
        <f t="shared" si="1"/>
        <v>167728.74</v>
      </c>
      <c r="P22" s="113">
        <f t="shared" si="7"/>
        <v>18636.526666666665</v>
      </c>
      <c r="Q22" s="188"/>
      <c r="R22" s="188"/>
      <c r="S22" s="40">
        <f t="shared" si="8"/>
        <v>186365.26666666666</v>
      </c>
      <c r="T22" s="776">
        <v>11647.84</v>
      </c>
      <c r="U22" s="776">
        <v>11648.57</v>
      </c>
      <c r="V22" s="1078">
        <v>11647.84</v>
      </c>
      <c r="W22" s="265">
        <v>11692.19</v>
      </c>
      <c r="X22" s="1152">
        <v>11695.65</v>
      </c>
      <c r="Y22" s="265">
        <v>11695.65</v>
      </c>
      <c r="Z22" s="1170">
        <v>11695.65</v>
      </c>
      <c r="AA22" s="1170">
        <v>11695.65</v>
      </c>
      <c r="AB22" s="1257">
        <v>15496.78</v>
      </c>
      <c r="AC22" s="1279">
        <v>11695.65</v>
      </c>
      <c r="AD22" s="265"/>
      <c r="AE22" s="265"/>
      <c r="AF22" s="997">
        <f t="shared" si="2"/>
        <v>108915.81999999999</v>
      </c>
      <c r="AG22" s="997">
        <f t="shared" si="3"/>
        <v>11695.65</v>
      </c>
      <c r="AH22" s="40">
        <f t="shared" si="4"/>
        <v>120611.46999999999</v>
      </c>
      <c r="AI22" s="40">
        <f t="shared" si="5"/>
        <v>65753.796666666676</v>
      </c>
      <c r="AJ22" s="1230">
        <f t="shared" si="6"/>
        <v>103026.84999999999</v>
      </c>
    </row>
    <row r="23" spans="1:36" x14ac:dyDescent="0.25">
      <c r="A23" s="49" t="s">
        <v>174</v>
      </c>
      <c r="B23" s="116" t="s">
        <v>35</v>
      </c>
      <c r="C23" s="40">
        <v>22800</v>
      </c>
      <c r="D23" s="989"/>
      <c r="E23" s="989"/>
      <c r="F23" s="989"/>
      <c r="G23" s="989"/>
      <c r="H23" s="989"/>
      <c r="I23" s="989"/>
      <c r="J23" s="989">
        <v>500</v>
      </c>
      <c r="K23" s="989"/>
      <c r="L23" s="1214"/>
      <c r="M23" s="989"/>
      <c r="N23" s="113">
        <f t="shared" si="0"/>
        <v>23300</v>
      </c>
      <c r="O23" s="113">
        <f t="shared" si="1"/>
        <v>17475</v>
      </c>
      <c r="P23" s="113">
        <f t="shared" si="7"/>
        <v>1941.6666666666667</v>
      </c>
      <c r="Q23" s="188"/>
      <c r="R23" s="188"/>
      <c r="S23" s="40">
        <f t="shared" si="8"/>
        <v>19416.666666666668</v>
      </c>
      <c r="T23" s="776">
        <v>1400</v>
      </c>
      <c r="U23" s="776">
        <v>1400</v>
      </c>
      <c r="V23" s="1078">
        <v>1400</v>
      </c>
      <c r="W23" s="265">
        <v>1400</v>
      </c>
      <c r="X23" s="1152">
        <v>1400</v>
      </c>
      <c r="Y23" s="265">
        <v>1400</v>
      </c>
      <c r="Z23" s="1170">
        <v>1400</v>
      </c>
      <c r="AA23" s="1170">
        <v>1400</v>
      </c>
      <c r="AB23" s="1257">
        <v>1400</v>
      </c>
      <c r="AC23" s="1279">
        <v>1400</v>
      </c>
      <c r="AD23" s="265"/>
      <c r="AE23" s="265"/>
      <c r="AF23" s="997">
        <f t="shared" si="2"/>
        <v>12600</v>
      </c>
      <c r="AG23" s="997">
        <f t="shared" si="3"/>
        <v>1400</v>
      </c>
      <c r="AH23" s="40">
        <f t="shared" si="4"/>
        <v>14000</v>
      </c>
      <c r="AI23" s="40">
        <f t="shared" si="5"/>
        <v>5416.6666666666679</v>
      </c>
      <c r="AJ23" s="1230">
        <f t="shared" si="6"/>
        <v>9300</v>
      </c>
    </row>
    <row r="24" spans="1:36" x14ac:dyDescent="0.25">
      <c r="A24" s="49" t="s">
        <v>449</v>
      </c>
      <c r="B24" s="116" t="s">
        <v>39</v>
      </c>
      <c r="C24" s="40"/>
      <c r="D24" s="989"/>
      <c r="E24" s="989"/>
      <c r="F24" s="989"/>
      <c r="G24" s="989"/>
      <c r="H24" s="989"/>
      <c r="I24" s="989"/>
      <c r="J24" s="989"/>
      <c r="K24" s="989"/>
      <c r="L24" s="1214"/>
      <c r="M24" s="989"/>
      <c r="N24" s="113">
        <f t="shared" si="0"/>
        <v>0</v>
      </c>
      <c r="O24" s="113">
        <f t="shared" si="1"/>
        <v>0</v>
      </c>
      <c r="P24" s="113">
        <f t="shared" si="7"/>
        <v>0</v>
      </c>
      <c r="Q24" s="188"/>
      <c r="R24" s="188"/>
      <c r="S24" s="40">
        <f t="shared" si="8"/>
        <v>0</v>
      </c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997">
        <f t="shared" si="2"/>
        <v>0</v>
      </c>
      <c r="AG24" s="997">
        <f t="shared" si="3"/>
        <v>0</v>
      </c>
      <c r="AH24" s="188"/>
      <c r="AI24" s="40">
        <f t="shared" si="5"/>
        <v>0</v>
      </c>
      <c r="AJ24" s="1230">
        <f t="shared" si="6"/>
        <v>0</v>
      </c>
    </row>
    <row r="25" spans="1:36" x14ac:dyDescent="0.25">
      <c r="A25" s="111" t="s">
        <v>175</v>
      </c>
      <c r="B25" s="118"/>
      <c r="C25" s="40"/>
      <c r="D25" s="989"/>
      <c r="E25" s="989"/>
      <c r="F25" s="989"/>
      <c r="G25" s="989"/>
      <c r="H25" s="989"/>
      <c r="I25" s="989"/>
      <c r="J25" s="989"/>
      <c r="K25" s="989"/>
      <c r="L25" s="1214"/>
      <c r="M25" s="989"/>
      <c r="N25" s="113">
        <f t="shared" si="0"/>
        <v>0</v>
      </c>
      <c r="O25" s="113">
        <f t="shared" si="1"/>
        <v>0</v>
      </c>
      <c r="P25" s="40"/>
      <c r="Q25" s="188"/>
      <c r="R25" s="188"/>
      <c r="S25" s="40">
        <f t="shared" si="8"/>
        <v>0</v>
      </c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997">
        <f t="shared" si="2"/>
        <v>0</v>
      </c>
      <c r="AG25" s="997">
        <f t="shared" si="3"/>
        <v>0</v>
      </c>
      <c r="AH25" s="188"/>
      <c r="AI25" s="40">
        <f t="shared" si="5"/>
        <v>0</v>
      </c>
      <c r="AJ25" s="1230">
        <f t="shared" si="6"/>
        <v>0</v>
      </c>
    </row>
    <row r="26" spans="1:36" x14ac:dyDescent="0.25">
      <c r="A26" s="110" t="s">
        <v>40</v>
      </c>
      <c r="B26" s="119"/>
      <c r="C26" s="346">
        <f t="shared" ref="C26:AJ26" si="9">SUM(C8:C25)</f>
        <v>20795863.23</v>
      </c>
      <c r="D26" s="346">
        <f t="shared" si="9"/>
        <v>0</v>
      </c>
      <c r="E26" s="346">
        <f t="shared" si="9"/>
        <v>-282970.68000000005</v>
      </c>
      <c r="F26" s="346">
        <f t="shared" si="9"/>
        <v>-565941.33000000007</v>
      </c>
      <c r="G26" s="346">
        <f t="shared" si="9"/>
        <v>0</v>
      </c>
      <c r="H26" s="346"/>
      <c r="I26" s="346">
        <f t="shared" si="9"/>
        <v>0</v>
      </c>
      <c r="J26" s="346">
        <f t="shared" si="9"/>
        <v>219387.33000000002</v>
      </c>
      <c r="K26" s="346">
        <f t="shared" si="9"/>
        <v>0</v>
      </c>
      <c r="L26" s="1215">
        <f t="shared" si="9"/>
        <v>-956655.36</v>
      </c>
      <c r="M26" s="346">
        <f t="shared" si="9"/>
        <v>0</v>
      </c>
      <c r="N26" s="346">
        <f t="shared" si="9"/>
        <v>19209683.190000001</v>
      </c>
      <c r="O26" s="346">
        <f t="shared" si="9"/>
        <v>14426262.3925</v>
      </c>
      <c r="P26" s="346">
        <f t="shared" si="9"/>
        <v>1600806.9324999999</v>
      </c>
      <c r="Q26" s="346">
        <f t="shared" si="9"/>
        <v>0</v>
      </c>
      <c r="R26" s="346">
        <f t="shared" si="9"/>
        <v>0</v>
      </c>
      <c r="S26" s="346">
        <f t="shared" si="9"/>
        <v>16027069.325000001</v>
      </c>
      <c r="T26" s="346">
        <f t="shared" si="9"/>
        <v>1276549.6100000001</v>
      </c>
      <c r="U26" s="346">
        <f t="shared" si="9"/>
        <v>1190605.6300000001</v>
      </c>
      <c r="V26" s="346">
        <f t="shared" si="9"/>
        <v>1190598.1100000001</v>
      </c>
      <c r="W26" s="346">
        <f t="shared" si="9"/>
        <v>1279174.28</v>
      </c>
      <c r="X26" s="346">
        <f t="shared" si="9"/>
        <v>2128353.3099999996</v>
      </c>
      <c r="Y26" s="346">
        <f t="shared" si="9"/>
        <v>1213932.1099999999</v>
      </c>
      <c r="Z26" s="346">
        <f t="shared" si="9"/>
        <v>1213932.1099999999</v>
      </c>
      <c r="AA26" s="346">
        <f t="shared" si="9"/>
        <v>1213932.1099999999</v>
      </c>
      <c r="AB26" s="346">
        <f t="shared" si="9"/>
        <v>1213932.1099999999</v>
      </c>
      <c r="AC26" s="346">
        <f t="shared" si="9"/>
        <v>1217232.1099999999</v>
      </c>
      <c r="AD26" s="346">
        <f t="shared" si="9"/>
        <v>0</v>
      </c>
      <c r="AE26" s="346">
        <f t="shared" si="9"/>
        <v>0</v>
      </c>
      <c r="AF26" s="346">
        <f t="shared" si="9"/>
        <v>11921009.379999999</v>
      </c>
      <c r="AG26" s="346">
        <f t="shared" si="9"/>
        <v>1217232.1099999999</v>
      </c>
      <c r="AH26" s="346">
        <f t="shared" si="9"/>
        <v>13138241.49</v>
      </c>
      <c r="AI26" s="346">
        <f t="shared" si="9"/>
        <v>2888827.8350000009</v>
      </c>
      <c r="AJ26" s="346">
        <f t="shared" si="9"/>
        <v>6071441.7000000002</v>
      </c>
    </row>
    <row r="27" spans="1:36" x14ac:dyDescent="0.25">
      <c r="A27" s="110" t="s">
        <v>176</v>
      </c>
      <c r="B27" s="111"/>
      <c r="C27" s="253"/>
      <c r="D27" s="253"/>
      <c r="E27" s="253"/>
      <c r="F27" s="253"/>
      <c r="G27" s="253"/>
      <c r="H27" s="253"/>
      <c r="I27" s="253"/>
      <c r="J27" s="253"/>
      <c r="K27" s="253"/>
      <c r="L27" s="1216"/>
      <c r="M27" s="253"/>
      <c r="N27" s="253"/>
      <c r="O27" s="253"/>
      <c r="P27" s="253"/>
      <c r="Q27" s="188"/>
      <c r="R27" s="188"/>
      <c r="S27" s="109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40"/>
      <c r="AJ27" s="1229"/>
    </row>
    <row r="28" spans="1:36" x14ac:dyDescent="0.25">
      <c r="A28" s="120" t="s">
        <v>139</v>
      </c>
      <c r="B28" s="112" t="s">
        <v>43</v>
      </c>
      <c r="C28" s="40">
        <f>800000</f>
        <v>800000</v>
      </c>
      <c r="D28" s="989"/>
      <c r="E28" s="989"/>
      <c r="F28" s="989"/>
      <c r="G28" s="989"/>
      <c r="H28" s="989"/>
      <c r="I28" s="989"/>
      <c r="J28" s="989"/>
      <c r="K28" s="989"/>
      <c r="L28" s="1214"/>
      <c r="M28" s="989"/>
      <c r="N28" s="113">
        <f t="shared" ref="N28:N54" si="10">SUM(C28:M28)</f>
        <v>800000</v>
      </c>
      <c r="O28" s="113">
        <f t="shared" ref="O28:O54" si="11">N28/12*9</f>
        <v>600000</v>
      </c>
      <c r="P28" s="113">
        <f t="shared" ref="P28:P54" si="12">N28/12</f>
        <v>66666.666666666672</v>
      </c>
      <c r="Q28" s="188"/>
      <c r="R28" s="188"/>
      <c r="S28" s="40">
        <f t="shared" ref="S28:S54" si="13">O28+P28</f>
        <v>666666.66666666663</v>
      </c>
      <c r="T28" s="265">
        <v>880</v>
      </c>
      <c r="U28" s="265">
        <v>5900</v>
      </c>
      <c r="V28" s="265">
        <v>19250</v>
      </c>
      <c r="W28" s="265">
        <v>2920</v>
      </c>
      <c r="X28" s="265">
        <v>14300</v>
      </c>
      <c r="Y28" s="265">
        <v>7400</v>
      </c>
      <c r="Z28" s="1228">
        <v>20232</v>
      </c>
      <c r="AA28" s="265">
        <v>11474</v>
      </c>
      <c r="AB28" s="265">
        <v>26980</v>
      </c>
      <c r="AC28" s="265">
        <v>20570</v>
      </c>
      <c r="AD28" s="265"/>
      <c r="AE28" s="265"/>
      <c r="AF28" s="997">
        <f t="shared" ref="AF28:AF54" si="14">T28+U28+V28+W28+X28+Y28+Z28+AA28+AB28</f>
        <v>109336</v>
      </c>
      <c r="AG28" s="997">
        <f t="shared" ref="AG28:AG54" si="15">AC28</f>
        <v>20570</v>
      </c>
      <c r="AH28" s="40">
        <f t="shared" ref="AH28:AH54" si="16">AF28+AG28</f>
        <v>129906</v>
      </c>
      <c r="AI28" s="40">
        <f t="shared" ref="AI28:AI68" si="17">S28-AH28</f>
        <v>536760.66666666663</v>
      </c>
      <c r="AJ28" s="1230">
        <f t="shared" ref="AJ28:AJ68" si="18">N28-AH28</f>
        <v>670094</v>
      </c>
    </row>
    <row r="29" spans="1:36" x14ac:dyDescent="0.25">
      <c r="A29" s="138" t="s">
        <v>450</v>
      </c>
      <c r="B29" s="112" t="s">
        <v>43</v>
      </c>
      <c r="C29" s="40">
        <v>68500</v>
      </c>
      <c r="D29" s="989"/>
      <c r="E29" s="989"/>
      <c r="F29" s="989"/>
      <c r="G29" s="989"/>
      <c r="H29" s="989"/>
      <c r="I29" s="989"/>
      <c r="J29" s="989"/>
      <c r="K29" s="989"/>
      <c r="L29" s="1214"/>
      <c r="M29" s="989"/>
      <c r="N29" s="113">
        <f t="shared" si="10"/>
        <v>68500</v>
      </c>
      <c r="O29" s="113">
        <f t="shared" si="11"/>
        <v>51375</v>
      </c>
      <c r="P29" s="113">
        <f t="shared" ref="P29" si="19">N29/12</f>
        <v>5708.333333333333</v>
      </c>
      <c r="Q29" s="188"/>
      <c r="R29" s="188"/>
      <c r="S29" s="40">
        <f t="shared" ref="S29" si="20">O29+P29</f>
        <v>57083.333333333336</v>
      </c>
      <c r="T29" s="265"/>
      <c r="U29" s="265"/>
      <c r="V29" s="265"/>
      <c r="W29" s="265"/>
      <c r="X29" s="265"/>
      <c r="Y29" s="265"/>
      <c r="Z29" s="1228"/>
      <c r="AA29" s="265"/>
      <c r="AB29" s="265"/>
      <c r="AC29" s="265"/>
      <c r="AD29" s="265"/>
      <c r="AE29" s="265"/>
      <c r="AF29" s="997">
        <f t="shared" si="14"/>
        <v>0</v>
      </c>
      <c r="AG29" s="997">
        <f t="shared" si="15"/>
        <v>0</v>
      </c>
      <c r="AH29" s="40">
        <f t="shared" ref="AH29" si="21">AF29+AG29</f>
        <v>0</v>
      </c>
      <c r="AI29" s="40">
        <f t="shared" ref="AI29" si="22">S29-AH29</f>
        <v>57083.333333333336</v>
      </c>
      <c r="AJ29" s="1230">
        <f t="shared" ref="AJ29" si="23">N29-AH29</f>
        <v>68500</v>
      </c>
    </row>
    <row r="30" spans="1:36" x14ac:dyDescent="0.25">
      <c r="A30" s="120" t="s">
        <v>44</v>
      </c>
      <c r="B30" s="112" t="s">
        <v>140</v>
      </c>
      <c r="C30" s="52"/>
      <c r="D30" s="720"/>
      <c r="E30" s="720"/>
      <c r="F30" s="720"/>
      <c r="G30" s="720"/>
      <c r="H30" s="720"/>
      <c r="I30" s="720"/>
      <c r="J30" s="720"/>
      <c r="K30" s="720"/>
      <c r="L30" s="1217"/>
      <c r="M30" s="720"/>
      <c r="N30" s="113">
        <f t="shared" si="10"/>
        <v>0</v>
      </c>
      <c r="O30" s="113">
        <f t="shared" si="11"/>
        <v>0</v>
      </c>
      <c r="P30" s="113">
        <f t="shared" si="12"/>
        <v>0</v>
      </c>
      <c r="Q30" s="188"/>
      <c r="R30" s="188"/>
      <c r="S30" s="40">
        <f t="shared" si="13"/>
        <v>0</v>
      </c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997">
        <f t="shared" si="14"/>
        <v>0</v>
      </c>
      <c r="AG30" s="997">
        <f t="shared" si="15"/>
        <v>0</v>
      </c>
      <c r="AH30" s="40">
        <f t="shared" si="16"/>
        <v>0</v>
      </c>
      <c r="AI30" s="40">
        <f t="shared" si="17"/>
        <v>0</v>
      </c>
      <c r="AJ30" s="1230">
        <f t="shared" si="18"/>
        <v>0</v>
      </c>
    </row>
    <row r="31" spans="1:36" x14ac:dyDescent="0.25">
      <c r="A31" s="162" t="s">
        <v>371</v>
      </c>
      <c r="B31" s="112"/>
      <c r="C31" s="40">
        <v>440000</v>
      </c>
      <c r="D31" s="989"/>
      <c r="E31" s="989"/>
      <c r="F31" s="989"/>
      <c r="G31" s="989"/>
      <c r="H31" s="989">
        <f>40480</f>
        <v>40480</v>
      </c>
      <c r="I31" s="989"/>
      <c r="J31" s="989"/>
      <c r="K31" s="989"/>
      <c r="L31" s="1214"/>
      <c r="M31" s="989"/>
      <c r="N31" s="113">
        <f t="shared" si="10"/>
        <v>480480</v>
      </c>
      <c r="O31" s="113">
        <f t="shared" si="11"/>
        <v>360360</v>
      </c>
      <c r="P31" s="113">
        <f t="shared" ref="P31:P32" si="24">N31/12</f>
        <v>40040</v>
      </c>
      <c r="Q31" s="188"/>
      <c r="R31" s="188"/>
      <c r="S31" s="40">
        <f t="shared" ref="S31:S32" si="25">O31+P31</f>
        <v>400400</v>
      </c>
      <c r="T31" s="265"/>
      <c r="U31" s="265"/>
      <c r="V31" s="265"/>
      <c r="W31" s="265"/>
      <c r="X31" s="265"/>
      <c r="Y31" s="265"/>
      <c r="Z31" s="265">
        <v>10120</v>
      </c>
      <c r="AA31" s="265">
        <v>30360</v>
      </c>
      <c r="AB31" s="265">
        <v>15283.5</v>
      </c>
      <c r="AC31" s="265"/>
      <c r="AD31" s="265"/>
      <c r="AE31" s="265"/>
      <c r="AF31" s="997">
        <f t="shared" si="14"/>
        <v>55763.5</v>
      </c>
      <c r="AG31" s="997">
        <f t="shared" si="15"/>
        <v>0</v>
      </c>
      <c r="AH31" s="40">
        <f t="shared" ref="AH31:AH32" si="26">AF31+AG31</f>
        <v>55763.5</v>
      </c>
      <c r="AI31" s="40">
        <f t="shared" ref="AI31:AI32" si="27">S31-AH31</f>
        <v>344636.5</v>
      </c>
      <c r="AJ31" s="1230">
        <f t="shared" ref="AJ31:AJ32" si="28">N31-AH31</f>
        <v>424716.5</v>
      </c>
    </row>
    <row r="32" spans="1:36" x14ac:dyDescent="0.25">
      <c r="A32" s="138" t="s">
        <v>450</v>
      </c>
      <c r="B32" s="112" t="s">
        <v>43</v>
      </c>
      <c r="C32" s="40">
        <v>80000</v>
      </c>
      <c r="D32" s="989"/>
      <c r="E32" s="989"/>
      <c r="F32" s="989"/>
      <c r="G32" s="989"/>
      <c r="H32" s="989"/>
      <c r="I32" s="989"/>
      <c r="J32" s="989"/>
      <c r="K32" s="989"/>
      <c r="L32" s="1214"/>
      <c r="M32" s="989"/>
      <c r="N32" s="113">
        <f t="shared" si="10"/>
        <v>80000</v>
      </c>
      <c r="O32" s="113">
        <f t="shared" si="11"/>
        <v>60000</v>
      </c>
      <c r="P32" s="113">
        <f t="shared" si="24"/>
        <v>6666.666666666667</v>
      </c>
      <c r="Q32" s="188"/>
      <c r="R32" s="188"/>
      <c r="S32" s="40">
        <f t="shared" si="25"/>
        <v>66666.666666666672</v>
      </c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997">
        <f t="shared" si="14"/>
        <v>0</v>
      </c>
      <c r="AG32" s="997">
        <f t="shared" si="15"/>
        <v>0</v>
      </c>
      <c r="AH32" s="40">
        <f t="shared" si="26"/>
        <v>0</v>
      </c>
      <c r="AI32" s="40">
        <f t="shared" si="27"/>
        <v>66666.666666666672</v>
      </c>
      <c r="AJ32" s="1230">
        <f t="shared" si="28"/>
        <v>80000</v>
      </c>
    </row>
    <row r="33" spans="1:36" x14ac:dyDescent="0.25">
      <c r="A33" s="120" t="s">
        <v>455</v>
      </c>
      <c r="B33" s="112"/>
      <c r="C33" s="40">
        <v>200000</v>
      </c>
      <c r="D33" s="989"/>
      <c r="E33" s="989"/>
      <c r="F33" s="989"/>
      <c r="G33" s="989"/>
      <c r="H33" s="989"/>
      <c r="I33" s="989"/>
      <c r="J33" s="989"/>
      <c r="K33" s="989"/>
      <c r="L33" s="1214"/>
      <c r="M33" s="989"/>
      <c r="N33" s="113">
        <f t="shared" si="10"/>
        <v>200000</v>
      </c>
      <c r="O33" s="113">
        <f t="shared" si="11"/>
        <v>150000</v>
      </c>
      <c r="P33" s="113">
        <f t="shared" si="12"/>
        <v>16666.666666666668</v>
      </c>
      <c r="Q33" s="188"/>
      <c r="R33" s="188"/>
      <c r="S33" s="40">
        <f t="shared" si="13"/>
        <v>166666.66666666666</v>
      </c>
      <c r="T33" s="265"/>
      <c r="U33" s="265"/>
      <c r="V33" s="265">
        <v>4320</v>
      </c>
      <c r="W33" s="265"/>
      <c r="X33" s="265"/>
      <c r="Y33" s="265"/>
      <c r="Z33" s="265"/>
      <c r="AA33" s="265">
        <v>0</v>
      </c>
      <c r="AB33" s="265"/>
      <c r="AC33" s="265"/>
      <c r="AD33" s="265"/>
      <c r="AE33" s="265"/>
      <c r="AF33" s="997">
        <f t="shared" si="14"/>
        <v>4320</v>
      </c>
      <c r="AG33" s="997">
        <f t="shared" si="15"/>
        <v>0</v>
      </c>
      <c r="AH33" s="40">
        <f t="shared" si="16"/>
        <v>4320</v>
      </c>
      <c r="AI33" s="40">
        <f t="shared" si="17"/>
        <v>162346.66666666666</v>
      </c>
      <c r="AJ33" s="1230">
        <f t="shared" si="18"/>
        <v>195680</v>
      </c>
    </row>
    <row r="34" spans="1:36" x14ac:dyDescent="0.25">
      <c r="A34" s="120" t="s">
        <v>454</v>
      </c>
      <c r="B34" s="112"/>
      <c r="C34" s="40">
        <v>400000</v>
      </c>
      <c r="D34" s="989"/>
      <c r="E34" s="989"/>
      <c r="F34" s="989"/>
      <c r="G34" s="989"/>
      <c r="H34" s="989"/>
      <c r="I34" s="989"/>
      <c r="J34" s="989"/>
      <c r="K34" s="989"/>
      <c r="L34" s="1214"/>
      <c r="M34" s="989"/>
      <c r="N34" s="113">
        <f t="shared" si="10"/>
        <v>400000</v>
      </c>
      <c r="O34" s="113">
        <f t="shared" si="11"/>
        <v>300000</v>
      </c>
      <c r="P34" s="113">
        <f t="shared" si="12"/>
        <v>33333.333333333336</v>
      </c>
      <c r="Q34" s="188"/>
      <c r="R34" s="188"/>
      <c r="S34" s="40">
        <f t="shared" si="13"/>
        <v>333333.33333333331</v>
      </c>
      <c r="T34" s="265"/>
      <c r="U34" s="265"/>
      <c r="V34" s="1077"/>
      <c r="W34" s="265">
        <v>5240</v>
      </c>
      <c r="X34" s="265"/>
      <c r="Y34" s="265"/>
      <c r="Z34" s="265"/>
      <c r="AA34" s="265"/>
      <c r="AB34" s="265"/>
      <c r="AC34" s="265">
        <v>6400</v>
      </c>
      <c r="AD34" s="265"/>
      <c r="AE34" s="265"/>
      <c r="AF34" s="997">
        <f t="shared" si="14"/>
        <v>5240</v>
      </c>
      <c r="AG34" s="997">
        <f t="shared" si="15"/>
        <v>6400</v>
      </c>
      <c r="AH34" s="40">
        <f t="shared" si="16"/>
        <v>11640</v>
      </c>
      <c r="AI34" s="40">
        <f t="shared" si="17"/>
        <v>321693.33333333331</v>
      </c>
      <c r="AJ34" s="1230">
        <f t="shared" si="18"/>
        <v>388360</v>
      </c>
    </row>
    <row r="35" spans="1:36" x14ac:dyDescent="0.25">
      <c r="A35" s="120" t="s">
        <v>456</v>
      </c>
      <c r="B35" s="112"/>
      <c r="C35" s="40">
        <v>50000</v>
      </c>
      <c r="D35" s="989"/>
      <c r="E35" s="989"/>
      <c r="F35" s="989"/>
      <c r="G35" s="989"/>
      <c r="H35" s="989"/>
      <c r="I35" s="989"/>
      <c r="J35" s="989"/>
      <c r="K35" s="989"/>
      <c r="L35" s="1214"/>
      <c r="M35" s="989"/>
      <c r="N35" s="113">
        <f t="shared" si="10"/>
        <v>50000</v>
      </c>
      <c r="O35" s="113">
        <f t="shared" si="11"/>
        <v>37500</v>
      </c>
      <c r="P35" s="113">
        <f t="shared" si="12"/>
        <v>4166.666666666667</v>
      </c>
      <c r="Q35" s="188"/>
      <c r="R35" s="188"/>
      <c r="S35" s="40">
        <f t="shared" si="13"/>
        <v>41666.666666666664</v>
      </c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997">
        <f t="shared" si="14"/>
        <v>0</v>
      </c>
      <c r="AG35" s="997">
        <f t="shared" si="15"/>
        <v>0</v>
      </c>
      <c r="AH35" s="40">
        <f t="shared" si="16"/>
        <v>0</v>
      </c>
      <c r="AI35" s="40">
        <f t="shared" si="17"/>
        <v>41666.666666666664</v>
      </c>
      <c r="AJ35" s="1230">
        <f t="shared" si="18"/>
        <v>50000</v>
      </c>
    </row>
    <row r="36" spans="1:36" x14ac:dyDescent="0.25">
      <c r="A36" s="120" t="s">
        <v>50</v>
      </c>
      <c r="B36" s="112" t="s">
        <v>51</v>
      </c>
      <c r="C36" s="52">
        <v>200000</v>
      </c>
      <c r="D36" s="720">
        <v>33950</v>
      </c>
      <c r="E36" s="720"/>
      <c r="F36" s="720"/>
      <c r="G36" s="720"/>
      <c r="H36" s="720"/>
      <c r="I36" s="720"/>
      <c r="J36" s="720"/>
      <c r="K36" s="720"/>
      <c r="L36" s="1217"/>
      <c r="M36" s="720"/>
      <c r="N36" s="113">
        <f t="shared" si="10"/>
        <v>233950</v>
      </c>
      <c r="O36" s="113">
        <f t="shared" si="11"/>
        <v>175462.5</v>
      </c>
      <c r="P36" s="113">
        <f t="shared" si="12"/>
        <v>19495.833333333332</v>
      </c>
      <c r="Q36" s="188"/>
      <c r="R36" s="188"/>
      <c r="S36" s="40">
        <f t="shared" si="13"/>
        <v>194958.33333333334</v>
      </c>
      <c r="T36" s="265"/>
      <c r="U36" s="265"/>
      <c r="V36" s="265">
        <v>28841</v>
      </c>
      <c r="W36" s="265">
        <v>5100</v>
      </c>
      <c r="X36" s="265"/>
      <c r="Y36" s="265"/>
      <c r="Z36" s="265">
        <v>9040</v>
      </c>
      <c r="AA36" s="265">
        <v>8857</v>
      </c>
      <c r="AB36" s="265">
        <v>27888</v>
      </c>
      <c r="AC36" s="265">
        <v>11100</v>
      </c>
      <c r="AD36" s="265"/>
      <c r="AE36" s="265"/>
      <c r="AF36" s="997">
        <f t="shared" si="14"/>
        <v>79726</v>
      </c>
      <c r="AG36" s="997">
        <f t="shared" si="15"/>
        <v>11100</v>
      </c>
      <c r="AH36" s="40">
        <f t="shared" si="16"/>
        <v>90826</v>
      </c>
      <c r="AI36" s="40">
        <f t="shared" si="17"/>
        <v>104132.33333333334</v>
      </c>
      <c r="AJ36" s="1230">
        <f t="shared" si="18"/>
        <v>143124</v>
      </c>
    </row>
    <row r="37" spans="1:36" x14ac:dyDescent="0.25">
      <c r="A37" s="60" t="s">
        <v>177</v>
      </c>
      <c r="B37" s="112" t="s">
        <v>56</v>
      </c>
      <c r="C37" s="52">
        <v>200000</v>
      </c>
      <c r="D37" s="720"/>
      <c r="E37" s="720"/>
      <c r="F37" s="720"/>
      <c r="G37" s="720"/>
      <c r="H37" s="720"/>
      <c r="I37" s="720"/>
      <c r="J37" s="720"/>
      <c r="K37" s="720"/>
      <c r="L37" s="1217"/>
      <c r="M37" s="720"/>
      <c r="N37" s="113">
        <f t="shared" si="10"/>
        <v>200000</v>
      </c>
      <c r="O37" s="113">
        <f t="shared" si="11"/>
        <v>150000</v>
      </c>
      <c r="P37" s="113">
        <f t="shared" si="12"/>
        <v>16666.666666666668</v>
      </c>
      <c r="Q37" s="188"/>
      <c r="R37" s="188"/>
      <c r="S37" s="40">
        <f t="shared" si="13"/>
        <v>166666.66666666666</v>
      </c>
      <c r="T37" s="265"/>
      <c r="U37" s="265"/>
      <c r="V37" s="265">
        <v>2701.62</v>
      </c>
      <c r="W37" s="265"/>
      <c r="X37" s="265"/>
      <c r="Y37" s="265">
        <v>7046.04</v>
      </c>
      <c r="Z37" s="265"/>
      <c r="AA37" s="265">
        <v>5208.24</v>
      </c>
      <c r="AB37" s="265">
        <v>2740</v>
      </c>
      <c r="AC37" s="265"/>
      <c r="AD37" s="265"/>
      <c r="AE37" s="265"/>
      <c r="AF37" s="997">
        <f t="shared" si="14"/>
        <v>17695.900000000001</v>
      </c>
      <c r="AG37" s="997">
        <f t="shared" si="15"/>
        <v>0</v>
      </c>
      <c r="AH37" s="40">
        <f>AF37+AG37</f>
        <v>17695.900000000001</v>
      </c>
      <c r="AI37" s="40">
        <f t="shared" si="17"/>
        <v>148970.76666666666</v>
      </c>
      <c r="AJ37" s="1230">
        <f t="shared" si="18"/>
        <v>182304.1</v>
      </c>
    </row>
    <row r="38" spans="1:36" x14ac:dyDescent="0.25">
      <c r="A38" s="60" t="s">
        <v>178</v>
      </c>
      <c r="B38" s="50" t="s">
        <v>60</v>
      </c>
      <c r="C38" s="52">
        <v>567600</v>
      </c>
      <c r="D38" s="720"/>
      <c r="E38" s="720"/>
      <c r="F38" s="720"/>
      <c r="G38" s="720"/>
      <c r="H38" s="720"/>
      <c r="I38" s="720"/>
      <c r="J38" s="720"/>
      <c r="K38" s="720"/>
      <c r="L38" s="1217"/>
      <c r="M38" s="720"/>
      <c r="N38" s="113">
        <f t="shared" si="10"/>
        <v>567600</v>
      </c>
      <c r="O38" s="113">
        <f t="shared" si="11"/>
        <v>425700</v>
      </c>
      <c r="P38" s="113">
        <f t="shared" si="12"/>
        <v>47300</v>
      </c>
      <c r="Q38" s="121"/>
      <c r="R38" s="121"/>
      <c r="S38" s="40">
        <f t="shared" si="13"/>
        <v>473000</v>
      </c>
      <c r="T38" s="52">
        <v>39095</v>
      </c>
      <c r="U38" s="720">
        <v>51093</v>
      </c>
      <c r="V38" s="78">
        <v>55643</v>
      </c>
      <c r="W38" s="78">
        <v>55094</v>
      </c>
      <c r="X38" s="78">
        <v>64113.9</v>
      </c>
      <c r="Y38" s="997">
        <v>3799</v>
      </c>
      <c r="Z38" s="78">
        <v>69600.990000000005</v>
      </c>
      <c r="AA38" s="78">
        <v>51509.89</v>
      </c>
      <c r="AB38" s="720">
        <v>44703.66</v>
      </c>
      <c r="AC38" s="720">
        <v>44963.67</v>
      </c>
      <c r="AD38" s="78"/>
      <c r="AE38" s="78"/>
      <c r="AF38" s="997">
        <f t="shared" si="14"/>
        <v>434652.44000000006</v>
      </c>
      <c r="AG38" s="997">
        <f t="shared" si="15"/>
        <v>44963.67</v>
      </c>
      <c r="AH38" s="40">
        <f t="shared" si="16"/>
        <v>479616.11000000004</v>
      </c>
      <c r="AI38" s="40">
        <f t="shared" si="17"/>
        <v>-6616.1100000000442</v>
      </c>
      <c r="AJ38" s="1230">
        <f t="shared" si="18"/>
        <v>87983.889999999956</v>
      </c>
    </row>
    <row r="39" spans="1:36" x14ac:dyDescent="0.25">
      <c r="A39" s="60" t="s">
        <v>61</v>
      </c>
      <c r="B39" s="50" t="s">
        <v>62</v>
      </c>
      <c r="C39" s="52">
        <v>65000</v>
      </c>
      <c r="D39" s="720"/>
      <c r="E39" s="720"/>
      <c r="F39" s="720"/>
      <c r="G39" s="720">
        <f>3600</f>
        <v>3600</v>
      </c>
      <c r="H39" s="720"/>
      <c r="I39" s="720"/>
      <c r="J39" s="720"/>
      <c r="K39" s="720"/>
      <c r="L39" s="1217"/>
      <c r="M39" s="720"/>
      <c r="N39" s="113">
        <f t="shared" si="10"/>
        <v>68600</v>
      </c>
      <c r="O39" s="113">
        <f t="shared" si="11"/>
        <v>51450</v>
      </c>
      <c r="P39" s="113">
        <f t="shared" si="12"/>
        <v>5716.666666666667</v>
      </c>
      <c r="Q39" s="188"/>
      <c r="R39" s="188"/>
      <c r="S39" s="40">
        <f t="shared" si="13"/>
        <v>57166.666666666664</v>
      </c>
      <c r="T39" s="265">
        <v>4994.99</v>
      </c>
      <c r="U39" s="265">
        <v>4994.99</v>
      </c>
      <c r="V39" s="265">
        <v>4994.99</v>
      </c>
      <c r="W39" s="265">
        <v>3994</v>
      </c>
      <c r="X39" s="265">
        <v>4994.99</v>
      </c>
      <c r="Y39" s="265">
        <v>2897.99</v>
      </c>
      <c r="Z39" s="265">
        <v>5151.1000000000004</v>
      </c>
      <c r="AA39" s="265">
        <v>6684.69</v>
      </c>
      <c r="AB39" s="997">
        <v>6395.99</v>
      </c>
      <c r="AC39" s="265">
        <v>4395.99</v>
      </c>
      <c r="AD39" s="265"/>
      <c r="AE39" s="265"/>
      <c r="AF39" s="997">
        <f t="shared" si="14"/>
        <v>45103.729999999996</v>
      </c>
      <c r="AG39" s="997">
        <f t="shared" si="15"/>
        <v>4395.99</v>
      </c>
      <c r="AH39" s="40">
        <f t="shared" si="16"/>
        <v>49499.719999999994</v>
      </c>
      <c r="AI39" s="40">
        <f t="shared" si="17"/>
        <v>7666.9466666666704</v>
      </c>
      <c r="AJ39" s="1230">
        <f t="shared" si="18"/>
        <v>19100.280000000006</v>
      </c>
    </row>
    <row r="40" spans="1:36" x14ac:dyDescent="0.25">
      <c r="A40" s="62" t="s">
        <v>179</v>
      </c>
      <c r="B40" s="50" t="s">
        <v>70</v>
      </c>
      <c r="C40" s="122">
        <v>2267400</v>
      </c>
      <c r="D40" s="677">
        <v>75000</v>
      </c>
      <c r="E40" s="677"/>
      <c r="F40" s="677"/>
      <c r="G40" s="677"/>
      <c r="H40" s="677"/>
      <c r="I40" s="677"/>
      <c r="J40" s="677"/>
      <c r="K40" s="677"/>
      <c r="L40" s="1218"/>
      <c r="M40" s="677"/>
      <c r="N40" s="113">
        <f t="shared" si="10"/>
        <v>2342400</v>
      </c>
      <c r="O40" s="113">
        <f t="shared" si="11"/>
        <v>1756800</v>
      </c>
      <c r="P40" s="113">
        <f t="shared" si="12"/>
        <v>195200</v>
      </c>
      <c r="Q40" s="188"/>
      <c r="R40" s="188"/>
      <c r="S40" s="40">
        <f t="shared" si="13"/>
        <v>1952000</v>
      </c>
      <c r="T40" s="265">
        <f>25423.17+93331.87</f>
        <v>118755.04</v>
      </c>
      <c r="U40" s="265">
        <v>198849.67</v>
      </c>
      <c r="V40" s="265">
        <v>194197.5</v>
      </c>
      <c r="W40" s="265">
        <v>194200</v>
      </c>
      <c r="X40" s="265">
        <v>194200</v>
      </c>
      <c r="Y40" s="265">
        <v>220643.71</v>
      </c>
      <c r="Z40" s="265">
        <v>141609.20000000001</v>
      </c>
      <c r="AA40" s="265">
        <v>190163.65</v>
      </c>
      <c r="AB40" s="265">
        <v>197800</v>
      </c>
      <c r="AC40" s="265">
        <v>194800</v>
      </c>
      <c r="AD40" s="265"/>
      <c r="AE40" s="265"/>
      <c r="AF40" s="997">
        <f t="shared" si="14"/>
        <v>1650418.7699999998</v>
      </c>
      <c r="AG40" s="997">
        <f t="shared" si="15"/>
        <v>194800</v>
      </c>
      <c r="AH40" s="40">
        <f t="shared" si="16"/>
        <v>1845218.7699999998</v>
      </c>
      <c r="AI40" s="40">
        <f t="shared" si="17"/>
        <v>106781.23000000021</v>
      </c>
      <c r="AJ40" s="1230">
        <f t="shared" si="18"/>
        <v>497181.23000000021</v>
      </c>
    </row>
    <row r="41" spans="1:36" x14ac:dyDescent="0.25">
      <c r="A41" s="62" t="s">
        <v>226</v>
      </c>
      <c r="B41" s="50" t="s">
        <v>225</v>
      </c>
      <c r="C41" s="122">
        <v>225000</v>
      </c>
      <c r="D41" s="677">
        <f>-75000</f>
        <v>-75000</v>
      </c>
      <c r="E41" s="677"/>
      <c r="F41" s="677"/>
      <c r="G41" s="677"/>
      <c r="H41" s="677"/>
      <c r="I41" s="677"/>
      <c r="J41" s="677"/>
      <c r="K41" s="677"/>
      <c r="L41" s="1218"/>
      <c r="M41" s="677"/>
      <c r="N41" s="113">
        <f t="shared" si="10"/>
        <v>150000</v>
      </c>
      <c r="O41" s="113">
        <f t="shared" si="11"/>
        <v>112500</v>
      </c>
      <c r="P41" s="113">
        <f t="shared" si="12"/>
        <v>12500</v>
      </c>
      <c r="Q41" s="188"/>
      <c r="R41" s="188"/>
      <c r="S41" s="40">
        <f t="shared" si="13"/>
        <v>125000</v>
      </c>
      <c r="T41" s="265">
        <v>7636.38</v>
      </c>
      <c r="U41" s="265">
        <v>12000</v>
      </c>
      <c r="V41" s="265">
        <v>12000</v>
      </c>
      <c r="W41" s="265">
        <v>12000</v>
      </c>
      <c r="X41" s="265">
        <v>12000</v>
      </c>
      <c r="Y41" s="265">
        <v>13636.38</v>
      </c>
      <c r="Z41" s="265">
        <v>8727.2999999999993</v>
      </c>
      <c r="AA41" s="265">
        <v>12000</v>
      </c>
      <c r="AB41" s="265">
        <v>12000</v>
      </c>
      <c r="AC41" s="265">
        <v>12000</v>
      </c>
      <c r="AD41" s="265"/>
      <c r="AE41" s="265"/>
      <c r="AF41" s="997">
        <f t="shared" si="14"/>
        <v>102000.06000000001</v>
      </c>
      <c r="AG41" s="997">
        <f t="shared" si="15"/>
        <v>12000</v>
      </c>
      <c r="AH41" s="40">
        <f t="shared" si="16"/>
        <v>114000.06000000001</v>
      </c>
      <c r="AI41" s="40">
        <f t="shared" si="17"/>
        <v>10999.939999999988</v>
      </c>
      <c r="AJ41" s="1230">
        <f t="shared" si="18"/>
        <v>35999.939999999988</v>
      </c>
    </row>
    <row r="42" spans="1:36" x14ac:dyDescent="0.25">
      <c r="A42" s="62" t="s">
        <v>457</v>
      </c>
      <c r="B42" s="50" t="s">
        <v>158</v>
      </c>
      <c r="C42" s="40">
        <v>100000</v>
      </c>
      <c r="D42" s="989"/>
      <c r="E42" s="989"/>
      <c r="F42" s="989"/>
      <c r="G42" s="989"/>
      <c r="H42" s="989"/>
      <c r="I42" s="989"/>
      <c r="J42" s="989"/>
      <c r="K42" s="989"/>
      <c r="L42" s="1214"/>
      <c r="M42" s="989"/>
      <c r="N42" s="113">
        <f t="shared" si="10"/>
        <v>100000</v>
      </c>
      <c r="O42" s="113">
        <f t="shared" si="11"/>
        <v>75000</v>
      </c>
      <c r="P42" s="113">
        <f t="shared" ref="P42" si="29">N42/12</f>
        <v>8333.3333333333339</v>
      </c>
      <c r="Q42" s="188"/>
      <c r="R42" s="188"/>
      <c r="S42" s="40">
        <f t="shared" ref="S42" si="30">O42+P42</f>
        <v>83333.333333333328</v>
      </c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997">
        <f t="shared" si="14"/>
        <v>0</v>
      </c>
      <c r="AG42" s="997">
        <f t="shared" si="15"/>
        <v>0</v>
      </c>
      <c r="AH42" s="40">
        <f t="shared" ref="AH42" si="31">AF42+AG42</f>
        <v>0</v>
      </c>
      <c r="AI42" s="40">
        <f t="shared" ref="AI42" si="32">S42-AH42</f>
        <v>83333.333333333328</v>
      </c>
      <c r="AJ42" s="1230">
        <f t="shared" ref="AJ42" si="33">N42-AH42</f>
        <v>100000</v>
      </c>
    </row>
    <row r="43" spans="1:36" x14ac:dyDescent="0.25">
      <c r="A43" s="62" t="s">
        <v>75</v>
      </c>
      <c r="B43" s="50" t="s">
        <v>76</v>
      </c>
      <c r="C43" s="40">
        <v>30000</v>
      </c>
      <c r="D43" s="989"/>
      <c r="E43" s="989"/>
      <c r="F43" s="989"/>
      <c r="G43" s="989"/>
      <c r="H43" s="989"/>
      <c r="I43" s="989"/>
      <c r="J43" s="989"/>
      <c r="K43" s="989"/>
      <c r="L43" s="1214"/>
      <c r="M43" s="989"/>
      <c r="N43" s="113">
        <f t="shared" si="10"/>
        <v>30000</v>
      </c>
      <c r="O43" s="113">
        <f t="shared" si="11"/>
        <v>22500</v>
      </c>
      <c r="P43" s="113">
        <f t="shared" si="12"/>
        <v>2500</v>
      </c>
      <c r="Q43" s="188"/>
      <c r="R43" s="188"/>
      <c r="S43" s="40">
        <f t="shared" si="13"/>
        <v>25000</v>
      </c>
      <c r="T43" s="265"/>
      <c r="U43" s="265"/>
      <c r="V43" s="265"/>
      <c r="W43" s="265"/>
      <c r="X43" s="265"/>
      <c r="Y43" s="265"/>
      <c r="Z43" s="265">
        <v>3500</v>
      </c>
      <c r="AA43" s="265"/>
      <c r="AB43" s="265"/>
      <c r="AC43" s="265"/>
      <c r="AD43" s="265"/>
      <c r="AE43" s="265"/>
      <c r="AF43" s="997">
        <f t="shared" si="14"/>
        <v>3500</v>
      </c>
      <c r="AG43" s="997">
        <f t="shared" si="15"/>
        <v>0</v>
      </c>
      <c r="AH43" s="40">
        <f t="shared" si="16"/>
        <v>3500</v>
      </c>
      <c r="AI43" s="40">
        <f t="shared" si="17"/>
        <v>21500</v>
      </c>
      <c r="AJ43" s="1230">
        <f t="shared" si="18"/>
        <v>26500</v>
      </c>
    </row>
    <row r="44" spans="1:36" x14ac:dyDescent="0.25">
      <c r="A44" s="62" t="s">
        <v>142</v>
      </c>
      <c r="B44" s="50" t="s">
        <v>76</v>
      </c>
      <c r="C44" s="40">
        <v>30000</v>
      </c>
      <c r="D44" s="989"/>
      <c r="E44" s="989"/>
      <c r="F44" s="989"/>
      <c r="G44" s="989"/>
      <c r="H44" s="989"/>
      <c r="I44" s="989"/>
      <c r="J44" s="989"/>
      <c r="K44" s="989"/>
      <c r="L44" s="1214"/>
      <c r="M44" s="989"/>
      <c r="N44" s="113">
        <f t="shared" si="10"/>
        <v>30000</v>
      </c>
      <c r="O44" s="113">
        <f t="shared" si="11"/>
        <v>22500</v>
      </c>
      <c r="P44" s="113">
        <f t="shared" si="12"/>
        <v>2500</v>
      </c>
      <c r="Q44" s="188"/>
      <c r="R44" s="188"/>
      <c r="S44" s="40">
        <f t="shared" si="13"/>
        <v>25000</v>
      </c>
      <c r="T44" s="265"/>
      <c r="U44" s="265"/>
      <c r="V44" s="265"/>
      <c r="W44" s="265"/>
      <c r="X44" s="265"/>
      <c r="Y44" s="265">
        <v>200</v>
      </c>
      <c r="Z44" s="265">
        <v>4350</v>
      </c>
      <c r="AA44" s="265">
        <v>850</v>
      </c>
      <c r="AB44" s="265">
        <v>449</v>
      </c>
      <c r="AC44" s="265"/>
      <c r="AD44" s="265"/>
      <c r="AE44" s="265"/>
      <c r="AF44" s="997">
        <f t="shared" si="14"/>
        <v>5849</v>
      </c>
      <c r="AG44" s="997">
        <f t="shared" si="15"/>
        <v>0</v>
      </c>
      <c r="AH44" s="40">
        <f t="shared" si="16"/>
        <v>5849</v>
      </c>
      <c r="AI44" s="40">
        <f t="shared" si="17"/>
        <v>19151</v>
      </c>
      <c r="AJ44" s="1230">
        <f t="shared" si="18"/>
        <v>24151</v>
      </c>
    </row>
    <row r="45" spans="1:36" x14ac:dyDescent="0.25">
      <c r="A45" s="62" t="s">
        <v>180</v>
      </c>
      <c r="B45" s="50" t="s">
        <v>79</v>
      </c>
      <c r="C45" s="52">
        <v>20000</v>
      </c>
      <c r="D45" s="720"/>
      <c r="E45" s="720"/>
      <c r="F45" s="720"/>
      <c r="G45" s="720"/>
      <c r="H45" s="720"/>
      <c r="I45" s="720"/>
      <c r="J45" s="720"/>
      <c r="K45" s="720"/>
      <c r="L45" s="1217"/>
      <c r="M45" s="720"/>
      <c r="N45" s="113">
        <f t="shared" si="10"/>
        <v>20000</v>
      </c>
      <c r="O45" s="113">
        <f t="shared" si="11"/>
        <v>15000</v>
      </c>
      <c r="P45" s="113">
        <f t="shared" si="12"/>
        <v>1666.6666666666667</v>
      </c>
      <c r="Q45" s="188"/>
      <c r="R45" s="188"/>
      <c r="S45" s="40">
        <f t="shared" si="13"/>
        <v>16666.666666666668</v>
      </c>
      <c r="T45" s="265"/>
      <c r="U45" s="265"/>
      <c r="V45" s="265"/>
      <c r="W45" s="265"/>
      <c r="X45" s="265"/>
      <c r="Y45" s="265"/>
      <c r="Z45" s="265">
        <v>605</v>
      </c>
      <c r="AA45" s="265"/>
      <c r="AB45" s="265"/>
      <c r="AC45" s="265"/>
      <c r="AD45" s="265"/>
      <c r="AE45" s="265"/>
      <c r="AF45" s="997">
        <f t="shared" si="14"/>
        <v>605</v>
      </c>
      <c r="AG45" s="997">
        <f t="shared" si="15"/>
        <v>0</v>
      </c>
      <c r="AH45" s="40">
        <f t="shared" si="16"/>
        <v>605</v>
      </c>
      <c r="AI45" s="40">
        <f t="shared" si="17"/>
        <v>16061.666666666668</v>
      </c>
      <c r="AJ45" s="1230">
        <f t="shared" si="18"/>
        <v>19395</v>
      </c>
    </row>
    <row r="46" spans="1:36" x14ac:dyDescent="0.25">
      <c r="A46" s="120" t="s">
        <v>181</v>
      </c>
      <c r="B46" s="50" t="s">
        <v>83</v>
      </c>
      <c r="C46" s="40">
        <v>50000</v>
      </c>
      <c r="D46" s="989"/>
      <c r="E46" s="989"/>
      <c r="F46" s="989"/>
      <c r="G46" s="989"/>
      <c r="H46" s="989"/>
      <c r="I46" s="989"/>
      <c r="J46" s="989"/>
      <c r="K46" s="989"/>
      <c r="L46" s="1214"/>
      <c r="M46" s="989"/>
      <c r="N46" s="113">
        <f t="shared" si="10"/>
        <v>50000</v>
      </c>
      <c r="O46" s="113">
        <f t="shared" si="11"/>
        <v>37500</v>
      </c>
      <c r="P46" s="113">
        <f t="shared" si="12"/>
        <v>4166.666666666667</v>
      </c>
      <c r="Q46" s="188"/>
      <c r="R46" s="188"/>
      <c r="S46" s="40">
        <f t="shared" si="13"/>
        <v>41666.666666666664</v>
      </c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997">
        <f t="shared" si="14"/>
        <v>0</v>
      </c>
      <c r="AG46" s="997">
        <f t="shared" si="15"/>
        <v>0</v>
      </c>
      <c r="AH46" s="40">
        <f t="shared" si="16"/>
        <v>0</v>
      </c>
      <c r="AI46" s="40">
        <f t="shared" si="17"/>
        <v>41666.666666666664</v>
      </c>
      <c r="AJ46" s="1230">
        <f t="shared" si="18"/>
        <v>50000</v>
      </c>
    </row>
    <row r="47" spans="1:36" x14ac:dyDescent="0.25">
      <c r="A47" s="60" t="s">
        <v>84</v>
      </c>
      <c r="B47" s="50" t="s">
        <v>85</v>
      </c>
      <c r="C47" s="52">
        <v>100000</v>
      </c>
      <c r="D47" s="720"/>
      <c r="E47" s="720"/>
      <c r="F47" s="720"/>
      <c r="G47" s="720"/>
      <c r="H47" s="720"/>
      <c r="I47" s="720"/>
      <c r="J47" s="720"/>
      <c r="K47" s="720"/>
      <c r="L47" s="1217"/>
      <c r="M47" s="720"/>
      <c r="N47" s="113">
        <f t="shared" si="10"/>
        <v>100000</v>
      </c>
      <c r="O47" s="113">
        <f t="shared" si="11"/>
        <v>75000</v>
      </c>
      <c r="P47" s="113">
        <f t="shared" si="12"/>
        <v>8333.3333333333339</v>
      </c>
      <c r="Q47" s="123"/>
      <c r="R47" s="123"/>
      <c r="S47" s="40">
        <f t="shared" si="13"/>
        <v>83333.333333333328</v>
      </c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997">
        <f t="shared" si="14"/>
        <v>0</v>
      </c>
      <c r="AG47" s="997">
        <f t="shared" si="15"/>
        <v>0</v>
      </c>
      <c r="AH47" s="40">
        <f t="shared" si="16"/>
        <v>0</v>
      </c>
      <c r="AI47" s="40">
        <f t="shared" si="17"/>
        <v>83333.333333333328</v>
      </c>
      <c r="AJ47" s="1230">
        <f t="shared" si="18"/>
        <v>100000</v>
      </c>
    </row>
    <row r="48" spans="1:36" x14ac:dyDescent="0.25">
      <c r="A48" s="120" t="s">
        <v>86</v>
      </c>
      <c r="B48" s="114" t="s">
        <v>87</v>
      </c>
      <c r="C48" s="52">
        <v>50000</v>
      </c>
      <c r="D48" s="720">
        <f>-33950</f>
        <v>-33950</v>
      </c>
      <c r="E48" s="720"/>
      <c r="F48" s="720"/>
      <c r="G48" s="720">
        <f>-7200</f>
        <v>-7200</v>
      </c>
      <c r="H48" s="720"/>
      <c r="I48" s="720"/>
      <c r="J48" s="720"/>
      <c r="K48" s="720"/>
      <c r="L48" s="1217"/>
      <c r="M48" s="720"/>
      <c r="N48" s="113">
        <f t="shared" si="10"/>
        <v>8850</v>
      </c>
      <c r="O48" s="113">
        <f t="shared" si="11"/>
        <v>6637.5</v>
      </c>
      <c r="P48" s="113">
        <f t="shared" si="12"/>
        <v>737.5</v>
      </c>
      <c r="Q48" s="121"/>
      <c r="R48" s="121"/>
      <c r="S48" s="40">
        <f t="shared" si="13"/>
        <v>7375</v>
      </c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997">
        <f t="shared" si="14"/>
        <v>0</v>
      </c>
      <c r="AG48" s="997">
        <f t="shared" si="15"/>
        <v>0</v>
      </c>
      <c r="AH48" s="40">
        <f t="shared" si="16"/>
        <v>0</v>
      </c>
      <c r="AI48" s="40">
        <f t="shared" si="17"/>
        <v>7375</v>
      </c>
      <c r="AJ48" s="1230">
        <f t="shared" si="18"/>
        <v>8850</v>
      </c>
    </row>
    <row r="49" spans="1:36" x14ac:dyDescent="0.25">
      <c r="A49" s="60" t="s">
        <v>182</v>
      </c>
      <c r="B49" s="50" t="s">
        <v>93</v>
      </c>
      <c r="C49" s="52"/>
      <c r="D49" s="720"/>
      <c r="E49" s="720"/>
      <c r="F49" s="720"/>
      <c r="G49" s="720"/>
      <c r="H49" s="720"/>
      <c r="I49" s="720"/>
      <c r="J49" s="720"/>
      <c r="K49" s="720"/>
      <c r="L49" s="1217"/>
      <c r="M49" s="720"/>
      <c r="N49" s="113">
        <f t="shared" si="10"/>
        <v>0</v>
      </c>
      <c r="O49" s="113">
        <f t="shared" si="11"/>
        <v>0</v>
      </c>
      <c r="P49" s="113">
        <f t="shared" si="12"/>
        <v>0</v>
      </c>
      <c r="Q49" s="188"/>
      <c r="R49" s="188"/>
      <c r="S49" s="40">
        <f t="shared" si="13"/>
        <v>0</v>
      </c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997">
        <f t="shared" si="14"/>
        <v>0</v>
      </c>
      <c r="AG49" s="997">
        <f t="shared" si="15"/>
        <v>0</v>
      </c>
      <c r="AH49" s="40">
        <f t="shared" si="16"/>
        <v>0</v>
      </c>
      <c r="AI49" s="40">
        <f t="shared" si="17"/>
        <v>0</v>
      </c>
      <c r="AJ49" s="1230">
        <f t="shared" si="18"/>
        <v>0</v>
      </c>
    </row>
    <row r="50" spans="1:36" x14ac:dyDescent="0.25">
      <c r="A50" s="138" t="s">
        <v>371</v>
      </c>
      <c r="B50" s="114"/>
      <c r="C50" s="52">
        <v>20000</v>
      </c>
      <c r="D50" s="720"/>
      <c r="E50" s="720"/>
      <c r="F50" s="720"/>
      <c r="G50" s="720"/>
      <c r="H50" s="720"/>
      <c r="I50" s="720"/>
      <c r="J50" s="720"/>
      <c r="K50" s="720"/>
      <c r="L50" s="1217"/>
      <c r="M50" s="720"/>
      <c r="N50" s="113">
        <f t="shared" si="10"/>
        <v>20000</v>
      </c>
      <c r="O50" s="113">
        <f t="shared" si="11"/>
        <v>15000</v>
      </c>
      <c r="P50" s="113">
        <f t="shared" ref="P50:P52" si="34">N50/12</f>
        <v>1666.6666666666667</v>
      </c>
      <c r="Q50" s="121"/>
      <c r="R50" s="121"/>
      <c r="S50" s="40">
        <f t="shared" ref="S50:S52" si="35">O50+P50</f>
        <v>16666.666666666668</v>
      </c>
      <c r="T50" s="78"/>
      <c r="U50" s="78"/>
      <c r="V50" s="78">
        <v>3600</v>
      </c>
      <c r="W50" s="78"/>
      <c r="X50" s="78"/>
      <c r="Y50" s="78"/>
      <c r="Z50" s="78"/>
      <c r="AA50" s="78"/>
      <c r="AB50" s="720">
        <f>16000</f>
        <v>16000</v>
      </c>
      <c r="AC50" s="78"/>
      <c r="AD50" s="78"/>
      <c r="AE50" s="78"/>
      <c r="AF50" s="997">
        <f t="shared" si="14"/>
        <v>19600</v>
      </c>
      <c r="AG50" s="997">
        <f t="shared" si="15"/>
        <v>0</v>
      </c>
      <c r="AH50" s="40">
        <f t="shared" ref="AH50:AH52" si="36">AF50+AG50</f>
        <v>19600</v>
      </c>
      <c r="AI50" s="40">
        <f t="shared" ref="AI50:AI52" si="37">S50-AH50</f>
        <v>-2933.3333333333321</v>
      </c>
      <c r="AJ50" s="1230">
        <f t="shared" ref="AJ50:AJ52" si="38">N50-AH50</f>
        <v>400</v>
      </c>
    </row>
    <row r="51" spans="1:36" x14ac:dyDescent="0.25">
      <c r="A51" s="138" t="s">
        <v>451</v>
      </c>
      <c r="B51" s="114"/>
      <c r="C51" s="52">
        <v>65000</v>
      </c>
      <c r="D51" s="720"/>
      <c r="E51" s="720"/>
      <c r="F51" s="720"/>
      <c r="G51" s="720"/>
      <c r="H51" s="720"/>
      <c r="I51" s="720"/>
      <c r="J51" s="720"/>
      <c r="K51" s="720"/>
      <c r="L51" s="1217"/>
      <c r="M51" s="720"/>
      <c r="N51" s="113">
        <f t="shared" si="10"/>
        <v>65000</v>
      </c>
      <c r="O51" s="113">
        <f t="shared" si="11"/>
        <v>48750</v>
      </c>
      <c r="P51" s="113">
        <f t="shared" si="34"/>
        <v>5416.666666666667</v>
      </c>
      <c r="Q51" s="121"/>
      <c r="R51" s="121"/>
      <c r="S51" s="40">
        <f t="shared" si="35"/>
        <v>54166.666666666664</v>
      </c>
      <c r="T51" s="78"/>
      <c r="U51" s="78"/>
      <c r="V51" s="78"/>
      <c r="W51" s="78"/>
      <c r="X51" s="78"/>
      <c r="Y51" s="78">
        <v>4205</v>
      </c>
      <c r="Z51" s="78">
        <v>990</v>
      </c>
      <c r="AA51" s="78"/>
      <c r="AB51" s="720">
        <f>4120+4800</f>
        <v>8920</v>
      </c>
      <c r="AC51" s="78"/>
      <c r="AD51" s="78"/>
      <c r="AE51" s="78"/>
      <c r="AF51" s="997">
        <f t="shared" si="14"/>
        <v>14115</v>
      </c>
      <c r="AG51" s="997">
        <f t="shared" si="15"/>
        <v>0</v>
      </c>
      <c r="AH51" s="40">
        <f t="shared" si="36"/>
        <v>14115</v>
      </c>
      <c r="AI51" s="40">
        <f t="shared" si="37"/>
        <v>40051.666666666664</v>
      </c>
      <c r="AJ51" s="1230">
        <f t="shared" si="38"/>
        <v>50885</v>
      </c>
    </row>
    <row r="52" spans="1:36" x14ac:dyDescent="0.25">
      <c r="A52" s="120" t="s">
        <v>452</v>
      </c>
      <c r="B52" s="114" t="s">
        <v>102</v>
      </c>
      <c r="C52" s="52"/>
      <c r="D52" s="720"/>
      <c r="E52" s="720"/>
      <c r="F52" s="720"/>
      <c r="G52" s="720"/>
      <c r="H52" s="720"/>
      <c r="I52" s="720"/>
      <c r="J52" s="720"/>
      <c r="K52" s="720"/>
      <c r="L52" s="1217"/>
      <c r="M52" s="720"/>
      <c r="N52" s="113">
        <f t="shared" si="10"/>
        <v>0</v>
      </c>
      <c r="O52" s="113">
        <f t="shared" si="11"/>
        <v>0</v>
      </c>
      <c r="P52" s="113">
        <f t="shared" si="34"/>
        <v>0</v>
      </c>
      <c r="Q52" s="121"/>
      <c r="R52" s="121"/>
      <c r="S52" s="40">
        <f t="shared" si="35"/>
        <v>0</v>
      </c>
      <c r="T52" s="78"/>
      <c r="U52" s="78"/>
      <c r="V52" s="78"/>
      <c r="W52" s="78"/>
      <c r="X52" s="78"/>
      <c r="Y52" s="78"/>
      <c r="Z52" s="78"/>
      <c r="AA52" s="78"/>
      <c r="AB52" s="720"/>
      <c r="AC52" s="78"/>
      <c r="AD52" s="78"/>
      <c r="AE52" s="78"/>
      <c r="AF52" s="997">
        <f t="shared" si="14"/>
        <v>0</v>
      </c>
      <c r="AG52" s="997">
        <f t="shared" si="15"/>
        <v>0</v>
      </c>
      <c r="AH52" s="40">
        <f t="shared" si="36"/>
        <v>0</v>
      </c>
      <c r="AI52" s="40">
        <f t="shared" si="37"/>
        <v>0</v>
      </c>
      <c r="AJ52" s="1230">
        <f t="shared" si="38"/>
        <v>0</v>
      </c>
    </row>
    <row r="53" spans="1:36" x14ac:dyDescent="0.25">
      <c r="A53" s="138" t="s">
        <v>453</v>
      </c>
      <c r="B53" s="114"/>
      <c r="C53" s="52">
        <v>30000</v>
      </c>
      <c r="D53" s="720"/>
      <c r="E53" s="720"/>
      <c r="F53" s="720"/>
      <c r="G53" s="720">
        <v>3600</v>
      </c>
      <c r="H53" s="720"/>
      <c r="I53" s="720"/>
      <c r="J53" s="720"/>
      <c r="K53" s="720"/>
      <c r="L53" s="1217"/>
      <c r="M53" s="720"/>
      <c r="N53" s="113">
        <f t="shared" si="10"/>
        <v>33600</v>
      </c>
      <c r="O53" s="113">
        <f t="shared" si="11"/>
        <v>25200</v>
      </c>
      <c r="P53" s="113">
        <f t="shared" si="12"/>
        <v>2800</v>
      </c>
      <c r="Q53" s="188"/>
      <c r="R53" s="188"/>
      <c r="S53" s="40">
        <f t="shared" si="13"/>
        <v>28000</v>
      </c>
      <c r="T53" s="265"/>
      <c r="U53" s="265"/>
      <c r="V53" s="265"/>
      <c r="W53" s="265"/>
      <c r="X53" s="265"/>
      <c r="Y53" s="265"/>
      <c r="Z53" s="265">
        <v>33600</v>
      </c>
      <c r="AA53" s="265"/>
      <c r="AB53" s="265"/>
      <c r="AC53" s="265"/>
      <c r="AD53" s="265"/>
      <c r="AE53" s="265"/>
      <c r="AF53" s="997">
        <f t="shared" si="14"/>
        <v>33600</v>
      </c>
      <c r="AG53" s="997">
        <f t="shared" si="15"/>
        <v>0</v>
      </c>
      <c r="AH53" s="40">
        <f t="shared" si="16"/>
        <v>33600</v>
      </c>
      <c r="AI53" s="40">
        <f t="shared" si="17"/>
        <v>-5600</v>
      </c>
      <c r="AJ53" s="1230">
        <f t="shared" si="18"/>
        <v>0</v>
      </c>
    </row>
    <row r="54" spans="1:36" x14ac:dyDescent="0.25">
      <c r="A54" s="60" t="s">
        <v>183</v>
      </c>
      <c r="B54" s="50" t="s">
        <v>106</v>
      </c>
      <c r="C54" s="52">
        <v>50000</v>
      </c>
      <c r="D54" s="720"/>
      <c r="E54" s="720"/>
      <c r="F54" s="720"/>
      <c r="G54" s="720"/>
      <c r="H54" s="720"/>
      <c r="I54" s="720"/>
      <c r="J54" s="720"/>
      <c r="K54" s="720"/>
      <c r="L54" s="1217"/>
      <c r="M54" s="720"/>
      <c r="N54" s="113">
        <f t="shared" si="10"/>
        <v>50000</v>
      </c>
      <c r="O54" s="113">
        <f t="shared" si="11"/>
        <v>37500</v>
      </c>
      <c r="P54" s="113">
        <f t="shared" si="12"/>
        <v>4166.666666666667</v>
      </c>
      <c r="Q54" s="188"/>
      <c r="R54" s="188"/>
      <c r="S54" s="40">
        <f t="shared" si="13"/>
        <v>41666.666666666664</v>
      </c>
      <c r="T54" s="265"/>
      <c r="U54" s="265"/>
      <c r="V54" s="265"/>
      <c r="W54" s="265"/>
      <c r="X54" s="265">
        <v>1804</v>
      </c>
      <c r="Y54" s="265"/>
      <c r="Z54" s="265"/>
      <c r="AA54" s="265"/>
      <c r="AB54" s="265">
        <v>17160</v>
      </c>
      <c r="AC54" s="265"/>
      <c r="AD54" s="265"/>
      <c r="AE54" s="265"/>
      <c r="AF54" s="997">
        <f t="shared" si="14"/>
        <v>18964</v>
      </c>
      <c r="AG54" s="997">
        <f t="shared" si="15"/>
        <v>0</v>
      </c>
      <c r="AH54" s="40">
        <f t="shared" si="16"/>
        <v>18964</v>
      </c>
      <c r="AI54" s="40">
        <f t="shared" si="17"/>
        <v>22702.666666666664</v>
      </c>
      <c r="AJ54" s="1230">
        <f t="shared" si="18"/>
        <v>31036</v>
      </c>
    </row>
    <row r="55" spans="1:36" x14ac:dyDescent="0.25">
      <c r="A55" s="110" t="s">
        <v>108</v>
      </c>
      <c r="B55" s="123"/>
      <c r="C55" s="109">
        <f t="shared" ref="C55:AJ55" si="39">SUM(C28:C54)</f>
        <v>6108500</v>
      </c>
      <c r="D55" s="990">
        <f t="shared" si="39"/>
        <v>0</v>
      </c>
      <c r="E55" s="990">
        <f t="shared" si="39"/>
        <v>0</v>
      </c>
      <c r="F55" s="990">
        <f t="shared" si="39"/>
        <v>0</v>
      </c>
      <c r="G55" s="990">
        <f t="shared" si="39"/>
        <v>0</v>
      </c>
      <c r="H55" s="990">
        <f t="shared" si="39"/>
        <v>40480</v>
      </c>
      <c r="I55" s="990">
        <f t="shared" si="39"/>
        <v>0</v>
      </c>
      <c r="J55" s="990">
        <f t="shared" si="39"/>
        <v>0</v>
      </c>
      <c r="K55" s="990">
        <f t="shared" si="39"/>
        <v>0</v>
      </c>
      <c r="L55" s="990">
        <f t="shared" si="39"/>
        <v>0</v>
      </c>
      <c r="M55" s="990">
        <f t="shared" si="39"/>
        <v>0</v>
      </c>
      <c r="N55" s="990">
        <f t="shared" si="39"/>
        <v>6148980</v>
      </c>
      <c r="O55" s="990">
        <f t="shared" si="39"/>
        <v>4611735</v>
      </c>
      <c r="P55" s="109">
        <f t="shared" si="39"/>
        <v>512415.00000000006</v>
      </c>
      <c r="Q55" s="990">
        <f t="shared" si="39"/>
        <v>0</v>
      </c>
      <c r="R55" s="990">
        <f t="shared" si="39"/>
        <v>0</v>
      </c>
      <c r="S55" s="990">
        <f t="shared" si="39"/>
        <v>5124150.0000000009</v>
      </c>
      <c r="T55" s="990">
        <f t="shared" si="39"/>
        <v>171361.41</v>
      </c>
      <c r="U55" s="990">
        <f t="shared" si="39"/>
        <v>272837.66000000003</v>
      </c>
      <c r="V55" s="990">
        <f t="shared" si="39"/>
        <v>325548.11</v>
      </c>
      <c r="W55" s="990">
        <f t="shared" si="39"/>
        <v>278548</v>
      </c>
      <c r="X55" s="990">
        <f t="shared" si="39"/>
        <v>291412.89</v>
      </c>
      <c r="Y55" s="990">
        <f t="shared" si="39"/>
        <v>259828.12</v>
      </c>
      <c r="Z55" s="990">
        <f t="shared" si="39"/>
        <v>307525.59000000003</v>
      </c>
      <c r="AA55" s="990">
        <f t="shared" si="39"/>
        <v>317107.46999999997</v>
      </c>
      <c r="AB55" s="990">
        <f t="shared" si="39"/>
        <v>376320.15</v>
      </c>
      <c r="AC55" s="990">
        <f t="shared" si="39"/>
        <v>294229.66000000003</v>
      </c>
      <c r="AD55" s="990">
        <f t="shared" si="39"/>
        <v>0</v>
      </c>
      <c r="AE55" s="990">
        <f t="shared" si="39"/>
        <v>0</v>
      </c>
      <c r="AF55" s="990">
        <f t="shared" si="39"/>
        <v>2600489.4</v>
      </c>
      <c r="AG55" s="990">
        <f t="shared" si="39"/>
        <v>294229.66000000003</v>
      </c>
      <c r="AH55" s="990">
        <f t="shared" si="39"/>
        <v>2894719.06</v>
      </c>
      <c r="AI55" s="990">
        <f t="shared" si="39"/>
        <v>2229430.9399999995</v>
      </c>
      <c r="AJ55" s="990">
        <f t="shared" si="39"/>
        <v>3254260.94</v>
      </c>
    </row>
    <row r="56" spans="1:36" x14ac:dyDescent="0.25">
      <c r="A56" s="110" t="s">
        <v>184</v>
      </c>
      <c r="B56" s="124"/>
      <c r="C56" s="40"/>
      <c r="D56" s="989"/>
      <c r="E56" s="989"/>
      <c r="F56" s="989"/>
      <c r="G56" s="989"/>
      <c r="H56" s="989"/>
      <c r="I56" s="989"/>
      <c r="J56" s="989"/>
      <c r="K56" s="989"/>
      <c r="L56" s="1214"/>
      <c r="M56" s="989"/>
      <c r="N56" s="40"/>
      <c r="O56" s="40"/>
      <c r="P56" s="40"/>
      <c r="Q56" s="188"/>
      <c r="R56" s="188"/>
      <c r="S56" s="109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997">
        <f t="shared" ref="AF56:AF68" si="40">T56+U56+V56+W56+X56+Y56+Z56+AA56+AB56</f>
        <v>0</v>
      </c>
      <c r="AG56" s="997">
        <f t="shared" ref="AG56:AG68" si="41">AC56</f>
        <v>0</v>
      </c>
      <c r="AH56" s="188"/>
      <c r="AI56" s="40">
        <f t="shared" si="17"/>
        <v>0</v>
      </c>
      <c r="AJ56" s="1230">
        <f t="shared" si="18"/>
        <v>0</v>
      </c>
    </row>
    <row r="57" spans="1:36" x14ac:dyDescent="0.25">
      <c r="A57" s="110" t="s">
        <v>320</v>
      </c>
      <c r="B57" s="124"/>
      <c r="C57" s="40"/>
      <c r="D57" s="989"/>
      <c r="E57" s="989"/>
      <c r="F57" s="989"/>
      <c r="G57" s="989"/>
      <c r="H57" s="989"/>
      <c r="I57" s="989"/>
      <c r="J57" s="989"/>
      <c r="K57" s="989"/>
      <c r="L57" s="1214"/>
      <c r="M57" s="989"/>
      <c r="N57" s="40"/>
      <c r="O57" s="40"/>
      <c r="P57" s="40"/>
      <c r="Q57" s="188"/>
      <c r="R57" s="188"/>
      <c r="S57" s="109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997">
        <f t="shared" si="40"/>
        <v>0</v>
      </c>
      <c r="AG57" s="997">
        <f t="shared" si="41"/>
        <v>0</v>
      </c>
      <c r="AH57" s="188"/>
      <c r="AI57" s="40">
        <f t="shared" si="17"/>
        <v>0</v>
      </c>
      <c r="AJ57" s="1230">
        <f t="shared" si="18"/>
        <v>0</v>
      </c>
    </row>
    <row r="58" spans="1:36" x14ac:dyDescent="0.25">
      <c r="A58" s="125" t="s">
        <v>112</v>
      </c>
      <c r="B58" s="67" t="s">
        <v>113</v>
      </c>
      <c r="C58" s="40"/>
      <c r="D58" s="989"/>
      <c r="E58" s="989"/>
      <c r="F58" s="989"/>
      <c r="G58" s="989"/>
      <c r="H58" s="989"/>
      <c r="I58" s="989"/>
      <c r="J58" s="989"/>
      <c r="K58" s="989"/>
      <c r="L58" s="1214"/>
      <c r="M58" s="989"/>
      <c r="N58" s="40"/>
      <c r="O58" s="40"/>
      <c r="P58" s="40"/>
      <c r="Q58" s="188"/>
      <c r="R58" s="188"/>
      <c r="S58" s="109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997">
        <f t="shared" si="40"/>
        <v>0</v>
      </c>
      <c r="AG58" s="997">
        <f t="shared" si="41"/>
        <v>0</v>
      </c>
      <c r="AH58" s="188"/>
      <c r="AI58" s="40">
        <f t="shared" si="17"/>
        <v>0</v>
      </c>
      <c r="AJ58" s="1230">
        <f t="shared" si="18"/>
        <v>0</v>
      </c>
    </row>
    <row r="59" spans="1:36" x14ac:dyDescent="0.25">
      <c r="A59" s="824" t="s">
        <v>1088</v>
      </c>
      <c r="B59" s="124"/>
      <c r="C59" s="40">
        <v>3485.25</v>
      </c>
      <c r="D59" s="989"/>
      <c r="E59" s="989"/>
      <c r="F59" s="989"/>
      <c r="G59" s="989"/>
      <c r="H59" s="989"/>
      <c r="I59" s="989">
        <f>-3485.25</f>
        <v>-3485.25</v>
      </c>
      <c r="J59" s="989"/>
      <c r="K59" s="989"/>
      <c r="L59" s="1214"/>
      <c r="M59" s="989"/>
      <c r="N59" s="113">
        <f t="shared" ref="N59:N68" si="42">SUM(C59:M59)</f>
        <v>0</v>
      </c>
      <c r="O59" s="40">
        <f>N59</f>
        <v>0</v>
      </c>
      <c r="P59" s="40">
        <f>N59</f>
        <v>0</v>
      </c>
      <c r="Q59" s="188"/>
      <c r="R59" s="188"/>
      <c r="S59" s="40">
        <f>N59</f>
        <v>0</v>
      </c>
      <c r="T59" s="265"/>
      <c r="U59" s="265"/>
      <c r="V59" s="265"/>
      <c r="W59" s="265"/>
      <c r="X59" s="265"/>
      <c r="Y59" s="265"/>
      <c r="Z59" s="265"/>
      <c r="AA59" s="265"/>
      <c r="AB59" s="265"/>
      <c r="AC59" s="265"/>
      <c r="AD59" s="265"/>
      <c r="AE59" s="265"/>
      <c r="AF59" s="997">
        <f t="shared" si="40"/>
        <v>0</v>
      </c>
      <c r="AG59" s="997">
        <f t="shared" si="41"/>
        <v>0</v>
      </c>
      <c r="AH59" s="40">
        <f>AF59+AG59</f>
        <v>0</v>
      </c>
      <c r="AI59" s="40">
        <f t="shared" si="17"/>
        <v>0</v>
      </c>
      <c r="AJ59" s="1230">
        <f t="shared" si="18"/>
        <v>0</v>
      </c>
    </row>
    <row r="60" spans="1:36" x14ac:dyDescent="0.25">
      <c r="A60" s="826" t="s">
        <v>428</v>
      </c>
      <c r="B60" s="124"/>
      <c r="C60" s="40"/>
      <c r="D60" s="989"/>
      <c r="E60" s="989"/>
      <c r="F60" s="989"/>
      <c r="G60" s="989"/>
      <c r="H60" s="989"/>
      <c r="I60" s="989"/>
      <c r="J60" s="989"/>
      <c r="K60" s="989"/>
      <c r="L60" s="1214"/>
      <c r="M60" s="989"/>
      <c r="N60" s="113">
        <f t="shared" si="42"/>
        <v>0</v>
      </c>
      <c r="O60" s="989">
        <f t="shared" ref="O60:O68" si="43">N60</f>
        <v>0</v>
      </c>
      <c r="P60" s="40">
        <f t="shared" ref="P60:P68" si="44">N60</f>
        <v>0</v>
      </c>
      <c r="Q60" s="188"/>
      <c r="R60" s="188"/>
      <c r="S60" s="40">
        <f t="shared" ref="S60:S68" si="45">N60</f>
        <v>0</v>
      </c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997">
        <f t="shared" si="40"/>
        <v>0</v>
      </c>
      <c r="AG60" s="997">
        <f t="shared" si="41"/>
        <v>0</v>
      </c>
      <c r="AH60" s="40">
        <f t="shared" ref="AH60:AH68" si="46">AF60+AG60</f>
        <v>0</v>
      </c>
      <c r="AI60" s="40">
        <f t="shared" si="17"/>
        <v>0</v>
      </c>
      <c r="AJ60" s="1230">
        <f t="shared" si="18"/>
        <v>0</v>
      </c>
    </row>
    <row r="61" spans="1:36" x14ac:dyDescent="0.25">
      <c r="A61" s="825" t="s">
        <v>1089</v>
      </c>
      <c r="B61" s="124"/>
      <c r="C61" s="40">
        <v>25000</v>
      </c>
      <c r="D61" s="989"/>
      <c r="E61" s="989"/>
      <c r="F61" s="989"/>
      <c r="G61" s="989"/>
      <c r="H61" s="989"/>
      <c r="I61" s="989"/>
      <c r="J61" s="989"/>
      <c r="K61" s="989">
        <f>-25000</f>
        <v>-25000</v>
      </c>
      <c r="L61" s="1214"/>
      <c r="M61" s="989"/>
      <c r="N61" s="113">
        <f t="shared" si="42"/>
        <v>0</v>
      </c>
      <c r="O61" s="989">
        <f>N61</f>
        <v>0</v>
      </c>
      <c r="P61" s="40">
        <f t="shared" si="44"/>
        <v>0</v>
      </c>
      <c r="Q61" s="188"/>
      <c r="R61" s="188"/>
      <c r="S61" s="40">
        <f t="shared" si="45"/>
        <v>0</v>
      </c>
      <c r="T61" s="265"/>
      <c r="U61" s="265"/>
      <c r="V61" s="265"/>
      <c r="W61" s="265"/>
      <c r="X61" s="265"/>
      <c r="Y61" s="265"/>
      <c r="Z61" s="265"/>
      <c r="AA61" s="265"/>
      <c r="AB61" s="265"/>
      <c r="AC61" s="265"/>
      <c r="AD61" s="265"/>
      <c r="AE61" s="265"/>
      <c r="AF61" s="997">
        <f t="shared" si="40"/>
        <v>0</v>
      </c>
      <c r="AG61" s="997">
        <f t="shared" si="41"/>
        <v>0</v>
      </c>
      <c r="AH61" s="40">
        <f t="shared" si="46"/>
        <v>0</v>
      </c>
      <c r="AI61" s="40">
        <f t="shared" si="17"/>
        <v>0</v>
      </c>
      <c r="AJ61" s="1230">
        <f t="shared" si="18"/>
        <v>0</v>
      </c>
    </row>
    <row r="62" spans="1:36" s="987" customFormat="1" x14ac:dyDescent="0.25">
      <c r="A62" s="1225" t="s">
        <v>241</v>
      </c>
      <c r="B62" s="124"/>
      <c r="C62" s="989"/>
      <c r="D62" s="989"/>
      <c r="E62" s="989"/>
      <c r="F62" s="989"/>
      <c r="G62" s="989"/>
      <c r="H62" s="989"/>
      <c r="I62" s="989"/>
      <c r="J62" s="989"/>
      <c r="K62" s="989"/>
      <c r="L62" s="1214"/>
      <c r="M62" s="989"/>
      <c r="N62" s="113">
        <f t="shared" ref="N62:N63" si="47">SUM(C62:M62)</f>
        <v>0</v>
      </c>
      <c r="O62" s="989">
        <f t="shared" ref="O62:O66" si="48">N62</f>
        <v>0</v>
      </c>
      <c r="P62" s="989">
        <f t="shared" ref="P62:P63" si="49">N62</f>
        <v>0</v>
      </c>
      <c r="Q62" s="937"/>
      <c r="R62" s="937"/>
      <c r="S62" s="989">
        <f t="shared" si="45"/>
        <v>0</v>
      </c>
      <c r="T62" s="997"/>
      <c r="U62" s="997"/>
      <c r="V62" s="997"/>
      <c r="W62" s="997"/>
      <c r="X62" s="997"/>
      <c r="Y62" s="997"/>
      <c r="Z62" s="997"/>
      <c r="AA62" s="997"/>
      <c r="AB62" s="997"/>
      <c r="AC62" s="997"/>
      <c r="AD62" s="997"/>
      <c r="AE62" s="997"/>
      <c r="AF62" s="997">
        <f t="shared" si="40"/>
        <v>0</v>
      </c>
      <c r="AG62" s="997">
        <f t="shared" si="41"/>
        <v>0</v>
      </c>
      <c r="AH62" s="989">
        <f t="shared" ref="AH62:AH64" si="50">AF62+AG62</f>
        <v>0</v>
      </c>
      <c r="AI62" s="989">
        <f t="shared" ref="AI62:AI64" si="51">S62-AH62</f>
        <v>0</v>
      </c>
      <c r="AJ62" s="1230">
        <f t="shared" ref="AJ62:AJ64" si="52">N62-AH62</f>
        <v>0</v>
      </c>
    </row>
    <row r="63" spans="1:36" s="987" customFormat="1" x14ac:dyDescent="0.25">
      <c r="A63" s="1226" t="s">
        <v>1347</v>
      </c>
      <c r="B63" s="100"/>
      <c r="C63" s="989"/>
      <c r="D63" s="989"/>
      <c r="E63" s="989"/>
      <c r="F63" s="989"/>
      <c r="G63" s="989"/>
      <c r="H63" s="989"/>
      <c r="I63" s="989"/>
      <c r="J63" s="989"/>
      <c r="K63" s="989">
        <v>75000</v>
      </c>
      <c r="L63" s="1214"/>
      <c r="M63" s="989"/>
      <c r="N63" s="113">
        <f t="shared" si="47"/>
        <v>75000</v>
      </c>
      <c r="O63" s="989">
        <f t="shared" si="48"/>
        <v>75000</v>
      </c>
      <c r="P63" s="989">
        <f t="shared" si="49"/>
        <v>75000</v>
      </c>
      <c r="Q63" s="937"/>
      <c r="R63" s="937"/>
      <c r="S63" s="989">
        <f t="shared" si="45"/>
        <v>75000</v>
      </c>
      <c r="T63" s="937"/>
      <c r="U63" s="937"/>
      <c r="V63" s="937"/>
      <c r="W63" s="937"/>
      <c r="X63" s="937"/>
      <c r="Y63" s="937"/>
      <c r="Z63" s="937"/>
      <c r="AA63" s="937"/>
      <c r="AB63" s="937"/>
      <c r="AC63" s="937">
        <v>63500</v>
      </c>
      <c r="AD63" s="937"/>
      <c r="AE63" s="937"/>
      <c r="AF63" s="997">
        <f t="shared" si="40"/>
        <v>0</v>
      </c>
      <c r="AG63" s="997">
        <f t="shared" si="41"/>
        <v>63500</v>
      </c>
      <c r="AH63" s="989">
        <f t="shared" si="50"/>
        <v>63500</v>
      </c>
      <c r="AI63" s="989">
        <f t="shared" si="51"/>
        <v>11500</v>
      </c>
      <c r="AJ63" s="1230">
        <f t="shared" si="52"/>
        <v>11500</v>
      </c>
    </row>
    <row r="64" spans="1:36" s="987" customFormat="1" x14ac:dyDescent="0.25">
      <c r="A64" s="827"/>
      <c r="B64" s="124"/>
      <c r="C64" s="989"/>
      <c r="D64" s="989"/>
      <c r="E64" s="989"/>
      <c r="F64" s="989"/>
      <c r="G64" s="989"/>
      <c r="H64" s="989"/>
      <c r="I64" s="989"/>
      <c r="J64" s="989"/>
      <c r="K64" s="989"/>
      <c r="L64" s="1214"/>
      <c r="M64" s="989"/>
      <c r="N64" s="113">
        <f t="shared" si="42"/>
        <v>0</v>
      </c>
      <c r="O64" s="989">
        <f t="shared" si="48"/>
        <v>0</v>
      </c>
      <c r="P64" s="989"/>
      <c r="Q64" s="937"/>
      <c r="R64" s="937"/>
      <c r="S64" s="989">
        <f t="shared" si="45"/>
        <v>0</v>
      </c>
      <c r="T64" s="997"/>
      <c r="U64" s="997"/>
      <c r="V64" s="997"/>
      <c r="W64" s="997"/>
      <c r="X64" s="997"/>
      <c r="Y64" s="997"/>
      <c r="Z64" s="997"/>
      <c r="AA64" s="997"/>
      <c r="AB64" s="997"/>
      <c r="AC64" s="997"/>
      <c r="AD64" s="997"/>
      <c r="AE64" s="997"/>
      <c r="AF64" s="997">
        <f t="shared" si="40"/>
        <v>0</v>
      </c>
      <c r="AG64" s="997">
        <f t="shared" si="41"/>
        <v>0</v>
      </c>
      <c r="AH64" s="989">
        <f t="shared" si="50"/>
        <v>0</v>
      </c>
      <c r="AI64" s="989">
        <f t="shared" si="51"/>
        <v>0</v>
      </c>
      <c r="AJ64" s="1230">
        <f t="shared" si="52"/>
        <v>0</v>
      </c>
    </row>
    <row r="65" spans="1:36" x14ac:dyDescent="0.25">
      <c r="A65" s="827" t="s">
        <v>903</v>
      </c>
      <c r="B65" s="124"/>
      <c r="C65" s="40">
        <v>2000000</v>
      </c>
      <c r="D65" s="989"/>
      <c r="E65" s="989"/>
      <c r="F65" s="989"/>
      <c r="G65" s="989"/>
      <c r="H65" s="989"/>
      <c r="I65" s="989"/>
      <c r="J65" s="989"/>
      <c r="K65" s="989"/>
      <c r="L65" s="1214"/>
      <c r="M65" s="989"/>
      <c r="N65" s="113">
        <f t="shared" si="42"/>
        <v>2000000</v>
      </c>
      <c r="O65" s="989">
        <f t="shared" si="48"/>
        <v>2000000</v>
      </c>
      <c r="P65" s="40">
        <f t="shared" si="44"/>
        <v>2000000</v>
      </c>
      <c r="Q65" s="188"/>
      <c r="R65" s="188"/>
      <c r="S65" s="40">
        <f t="shared" si="45"/>
        <v>2000000</v>
      </c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997">
        <f t="shared" si="40"/>
        <v>0</v>
      </c>
      <c r="AG65" s="997">
        <f t="shared" si="41"/>
        <v>0</v>
      </c>
      <c r="AH65" s="40">
        <f t="shared" si="46"/>
        <v>0</v>
      </c>
      <c r="AI65" s="40">
        <f t="shared" si="17"/>
        <v>2000000</v>
      </c>
      <c r="AJ65" s="1230">
        <f t="shared" si="18"/>
        <v>2000000</v>
      </c>
    </row>
    <row r="66" spans="1:36" x14ac:dyDescent="0.25">
      <c r="A66" s="828" t="s">
        <v>1090</v>
      </c>
      <c r="B66" s="124"/>
      <c r="C66" s="40">
        <v>15260</v>
      </c>
      <c r="D66" s="989"/>
      <c r="E66" s="989"/>
      <c r="F66" s="989"/>
      <c r="G66" s="989"/>
      <c r="H66" s="989"/>
      <c r="I66" s="989">
        <f>-15260</f>
        <v>-15260</v>
      </c>
      <c r="J66" s="989"/>
      <c r="K66" s="989"/>
      <c r="L66" s="1214"/>
      <c r="M66" s="989"/>
      <c r="N66" s="113">
        <f t="shared" si="42"/>
        <v>0</v>
      </c>
      <c r="O66" s="989">
        <f t="shared" si="48"/>
        <v>0</v>
      </c>
      <c r="P66" s="40">
        <f t="shared" si="44"/>
        <v>0</v>
      </c>
      <c r="Q66" s="188"/>
      <c r="R66" s="188"/>
      <c r="S66" s="40">
        <f t="shared" si="45"/>
        <v>0</v>
      </c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997">
        <f t="shared" si="40"/>
        <v>0</v>
      </c>
      <c r="AG66" s="997">
        <f t="shared" si="41"/>
        <v>0</v>
      </c>
      <c r="AH66" s="40">
        <f t="shared" si="46"/>
        <v>0</v>
      </c>
      <c r="AI66" s="40">
        <f t="shared" si="17"/>
        <v>0</v>
      </c>
      <c r="AJ66" s="1230">
        <f t="shared" si="18"/>
        <v>0</v>
      </c>
    </row>
    <row r="67" spans="1:36" x14ac:dyDescent="0.25">
      <c r="A67" s="828" t="s">
        <v>1091</v>
      </c>
      <c r="B67" s="124"/>
      <c r="C67" s="40">
        <v>50000</v>
      </c>
      <c r="D67" s="989"/>
      <c r="E67" s="989"/>
      <c r="F67" s="989"/>
      <c r="G67" s="989"/>
      <c r="H67" s="989"/>
      <c r="I67" s="989"/>
      <c r="J67" s="989"/>
      <c r="K67" s="989">
        <f>-50000</f>
        <v>-50000</v>
      </c>
      <c r="L67" s="1214"/>
      <c r="M67" s="989"/>
      <c r="N67" s="113">
        <f t="shared" si="42"/>
        <v>0</v>
      </c>
      <c r="O67" s="989">
        <f t="shared" si="43"/>
        <v>0</v>
      </c>
      <c r="P67" s="40">
        <f t="shared" si="44"/>
        <v>0</v>
      </c>
      <c r="Q67" s="188"/>
      <c r="R67" s="188"/>
      <c r="S67" s="40">
        <f t="shared" si="45"/>
        <v>0</v>
      </c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  <c r="AE67" s="265"/>
      <c r="AF67" s="997">
        <f t="shared" si="40"/>
        <v>0</v>
      </c>
      <c r="AG67" s="997">
        <f t="shared" si="41"/>
        <v>0</v>
      </c>
      <c r="AH67" s="40">
        <f t="shared" si="46"/>
        <v>0</v>
      </c>
      <c r="AI67" s="40">
        <f t="shared" si="17"/>
        <v>0</v>
      </c>
      <c r="AJ67" s="1230">
        <f t="shared" si="18"/>
        <v>0</v>
      </c>
    </row>
    <row r="68" spans="1:36" x14ac:dyDescent="0.25">
      <c r="A68" s="828" t="s">
        <v>1092</v>
      </c>
      <c r="B68" s="67" t="s">
        <v>111</v>
      </c>
      <c r="C68" s="40">
        <v>106926</v>
      </c>
      <c r="D68" s="989">
        <f>16074</f>
        <v>16074</v>
      </c>
      <c r="E68" s="989"/>
      <c r="F68" s="989"/>
      <c r="G68" s="989"/>
      <c r="H68" s="989"/>
      <c r="I68" s="989"/>
      <c r="J68" s="989"/>
      <c r="K68" s="989"/>
      <c r="L68" s="1214"/>
      <c r="M68" s="989"/>
      <c r="N68" s="113">
        <f t="shared" si="42"/>
        <v>123000</v>
      </c>
      <c r="O68" s="989">
        <f t="shared" si="43"/>
        <v>123000</v>
      </c>
      <c r="P68" s="40">
        <f t="shared" si="44"/>
        <v>123000</v>
      </c>
      <c r="Q68" s="188"/>
      <c r="R68" s="188"/>
      <c r="S68" s="40">
        <f t="shared" si="45"/>
        <v>123000</v>
      </c>
      <c r="T68" s="265"/>
      <c r="U68" s="265"/>
      <c r="V68" s="265"/>
      <c r="W68" s="265"/>
      <c r="X68" s="265"/>
      <c r="Y68" s="265"/>
      <c r="Z68" s="265"/>
      <c r="AA68" s="265"/>
      <c r="AB68" s="265"/>
      <c r="AC68" s="265"/>
      <c r="AD68" s="265"/>
      <c r="AE68" s="265"/>
      <c r="AF68" s="997">
        <f t="shared" si="40"/>
        <v>0</v>
      </c>
      <c r="AG68" s="997">
        <f t="shared" si="41"/>
        <v>0</v>
      </c>
      <c r="AH68" s="40">
        <f t="shared" si="46"/>
        <v>0</v>
      </c>
      <c r="AI68" s="40">
        <f t="shared" si="17"/>
        <v>123000</v>
      </c>
      <c r="AJ68" s="1230">
        <f t="shared" si="18"/>
        <v>123000</v>
      </c>
    </row>
    <row r="69" spans="1:36" s="745" customFormat="1" ht="15.75" x14ac:dyDescent="0.25">
      <c r="A69" s="1189" t="s">
        <v>322</v>
      </c>
      <c r="B69" s="119"/>
      <c r="C69" s="298">
        <f t="shared" ref="C69:U69" si="53">SUM(C58:C68)</f>
        <v>2200671.25</v>
      </c>
      <c r="D69" s="298">
        <f t="shared" si="53"/>
        <v>16074</v>
      </c>
      <c r="E69" s="298">
        <f t="shared" si="53"/>
        <v>0</v>
      </c>
      <c r="F69" s="298">
        <f t="shared" si="53"/>
        <v>0</v>
      </c>
      <c r="G69" s="298">
        <f t="shared" si="53"/>
        <v>0</v>
      </c>
      <c r="H69" s="298">
        <f t="shared" si="53"/>
        <v>0</v>
      </c>
      <c r="I69" s="298">
        <f t="shared" si="53"/>
        <v>-18745.25</v>
      </c>
      <c r="J69" s="298">
        <f t="shared" si="53"/>
        <v>0</v>
      </c>
      <c r="K69" s="298">
        <f t="shared" si="53"/>
        <v>0</v>
      </c>
      <c r="L69" s="298">
        <f t="shared" si="53"/>
        <v>0</v>
      </c>
      <c r="M69" s="298">
        <f t="shared" si="53"/>
        <v>0</v>
      </c>
      <c r="N69" s="298">
        <f t="shared" si="53"/>
        <v>2198000</v>
      </c>
      <c r="O69" s="298">
        <f t="shared" si="53"/>
        <v>2198000</v>
      </c>
      <c r="P69" s="298">
        <f t="shared" si="53"/>
        <v>2198000</v>
      </c>
      <c r="Q69" s="298">
        <f t="shared" si="53"/>
        <v>0</v>
      </c>
      <c r="R69" s="298">
        <f t="shared" si="53"/>
        <v>0</v>
      </c>
      <c r="S69" s="298">
        <f t="shared" si="53"/>
        <v>2198000</v>
      </c>
      <c r="T69" s="298">
        <f t="shared" si="53"/>
        <v>0</v>
      </c>
      <c r="U69" s="298">
        <f t="shared" si="53"/>
        <v>0</v>
      </c>
      <c r="V69" s="298">
        <f>SUM(V58:V68)</f>
        <v>0</v>
      </c>
      <c r="W69" s="298">
        <f t="shared" ref="W69:AJ69" si="54">SUM(W58:W68)</f>
        <v>0</v>
      </c>
      <c r="X69" s="298">
        <f t="shared" si="54"/>
        <v>0</v>
      </c>
      <c r="Y69" s="298">
        <f t="shared" si="54"/>
        <v>0</v>
      </c>
      <c r="Z69" s="298">
        <f t="shared" si="54"/>
        <v>0</v>
      </c>
      <c r="AA69" s="298">
        <f t="shared" si="54"/>
        <v>0</v>
      </c>
      <c r="AB69" s="298">
        <f t="shared" si="54"/>
        <v>0</v>
      </c>
      <c r="AC69" s="298">
        <f t="shared" si="54"/>
        <v>63500</v>
      </c>
      <c r="AD69" s="298">
        <f t="shared" si="54"/>
        <v>0</v>
      </c>
      <c r="AE69" s="298">
        <f t="shared" si="54"/>
        <v>0</v>
      </c>
      <c r="AF69" s="298">
        <f t="shared" si="54"/>
        <v>0</v>
      </c>
      <c r="AG69" s="298">
        <f t="shared" si="54"/>
        <v>63500</v>
      </c>
      <c r="AH69" s="298">
        <f t="shared" si="54"/>
        <v>63500</v>
      </c>
      <c r="AI69" s="298">
        <f t="shared" si="54"/>
        <v>2134500</v>
      </c>
      <c r="AJ69" s="1310">
        <f t="shared" si="54"/>
        <v>2134500</v>
      </c>
    </row>
    <row r="70" spans="1:36" ht="15.75" x14ac:dyDescent="0.25">
      <c r="A70" s="1189" t="s">
        <v>319</v>
      </c>
      <c r="B70" s="124"/>
      <c r="C70" s="40"/>
      <c r="D70" s="989"/>
      <c r="E70" s="989"/>
      <c r="F70" s="989"/>
      <c r="G70" s="989"/>
      <c r="H70" s="989"/>
      <c r="I70" s="989"/>
      <c r="J70" s="989"/>
      <c r="K70" s="989"/>
      <c r="L70" s="1214"/>
      <c r="M70" s="989"/>
      <c r="N70" s="40"/>
      <c r="O70" s="40"/>
      <c r="P70" s="40"/>
      <c r="Q70" s="188"/>
      <c r="R70" s="188"/>
      <c r="S70" s="109"/>
      <c r="T70" s="188"/>
      <c r="U70" s="188"/>
      <c r="V70" s="188"/>
      <c r="W70" s="188"/>
      <c r="X70" s="188"/>
      <c r="Y70" s="188"/>
      <c r="Z70" s="188"/>
      <c r="AA70" s="188"/>
      <c r="AB70" s="188"/>
      <c r="AC70" s="188"/>
      <c r="AD70" s="188"/>
      <c r="AE70" s="188"/>
      <c r="AF70" s="997"/>
      <c r="AG70" s="997"/>
      <c r="AH70" s="989"/>
      <c r="AI70" s="989"/>
      <c r="AJ70" s="1230"/>
    </row>
    <row r="71" spans="1:36" x14ac:dyDescent="0.25">
      <c r="A71" s="126" t="s">
        <v>110</v>
      </c>
      <c r="B71" s="67" t="s">
        <v>111</v>
      </c>
      <c r="C71" s="40"/>
      <c r="D71" s="989"/>
      <c r="E71" s="989"/>
      <c r="F71" s="989"/>
      <c r="G71" s="989"/>
      <c r="H71" s="989"/>
      <c r="I71" s="989"/>
      <c r="J71" s="989"/>
      <c r="K71" s="989"/>
      <c r="L71" s="1214"/>
      <c r="M71" s="989"/>
      <c r="N71" s="40"/>
      <c r="O71" s="40"/>
      <c r="P71" s="40"/>
      <c r="Q71" s="188"/>
      <c r="R71" s="188"/>
      <c r="S71" s="109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997"/>
      <c r="AG71" s="997"/>
      <c r="AH71" s="989"/>
      <c r="AI71" s="989"/>
      <c r="AJ71" s="1230"/>
    </row>
    <row r="72" spans="1:36" x14ac:dyDescent="0.25">
      <c r="A72" s="329" t="s">
        <v>185</v>
      </c>
      <c r="B72" s="67"/>
      <c r="C72" s="328">
        <v>10000</v>
      </c>
      <c r="D72" s="328"/>
      <c r="E72" s="328"/>
      <c r="F72" s="328"/>
      <c r="G72" s="328"/>
      <c r="H72" s="328"/>
      <c r="I72" s="328"/>
      <c r="J72" s="328"/>
      <c r="K72" s="328"/>
      <c r="L72" s="1219"/>
      <c r="M72" s="328"/>
      <c r="N72" s="113">
        <f t="shared" ref="N72:N84" si="55">SUM(C72:M72)</f>
        <v>10000</v>
      </c>
      <c r="O72" s="989">
        <f t="shared" ref="O72:O82" si="56">N72</f>
        <v>10000</v>
      </c>
      <c r="P72" s="40">
        <f t="shared" ref="P72:P82" si="57">N72</f>
        <v>10000</v>
      </c>
      <c r="Q72" s="188"/>
      <c r="R72" s="188"/>
      <c r="S72" s="40">
        <f t="shared" ref="S72:S82" si="58">N72</f>
        <v>10000</v>
      </c>
      <c r="T72" s="188"/>
      <c r="U72" s="188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997">
        <f t="shared" ref="AF72:AF84" si="59">T72+U72+V72+W72+X72+Y72+Z72+AA72+AB72</f>
        <v>0</v>
      </c>
      <c r="AG72" s="997">
        <f t="shared" ref="AG72:AG84" si="60">AC72</f>
        <v>0</v>
      </c>
      <c r="AH72" s="989">
        <f t="shared" ref="AH72:AH84" si="61">AF72+AG72</f>
        <v>0</v>
      </c>
      <c r="AI72" s="989">
        <f t="shared" ref="AI72:AI84" si="62">S72-AH72</f>
        <v>10000</v>
      </c>
      <c r="AJ72" s="1230">
        <f t="shared" ref="AJ72:AJ77" si="63">N72-AH72</f>
        <v>10000</v>
      </c>
    </row>
    <row r="73" spans="1:36" x14ac:dyDescent="0.25">
      <c r="A73" s="329" t="s">
        <v>186</v>
      </c>
      <c r="B73" s="67"/>
      <c r="C73" s="328">
        <v>169588</v>
      </c>
      <c r="D73" s="328"/>
      <c r="E73" s="328"/>
      <c r="F73" s="328"/>
      <c r="G73" s="328"/>
      <c r="H73" s="328"/>
      <c r="I73" s="328"/>
      <c r="J73" s="328"/>
      <c r="K73" s="328"/>
      <c r="L73" s="1219"/>
      <c r="M73" s="328"/>
      <c r="N73" s="113">
        <f t="shared" si="55"/>
        <v>169588</v>
      </c>
      <c r="O73" s="989">
        <f t="shared" si="56"/>
        <v>169588</v>
      </c>
      <c r="P73" s="989">
        <f t="shared" si="57"/>
        <v>169588</v>
      </c>
      <c r="Q73" s="188"/>
      <c r="R73" s="188"/>
      <c r="S73" s="40">
        <f t="shared" si="58"/>
        <v>169588</v>
      </c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997">
        <f t="shared" si="59"/>
        <v>0</v>
      </c>
      <c r="AG73" s="997">
        <f t="shared" si="60"/>
        <v>0</v>
      </c>
      <c r="AH73" s="989">
        <f t="shared" si="61"/>
        <v>0</v>
      </c>
      <c r="AI73" s="989">
        <f t="shared" si="62"/>
        <v>169588</v>
      </c>
      <c r="AJ73" s="1230">
        <f t="shared" si="63"/>
        <v>169588</v>
      </c>
    </row>
    <row r="74" spans="1:36" s="987" customFormat="1" x14ac:dyDescent="0.25">
      <c r="A74" s="1111" t="s">
        <v>1242</v>
      </c>
      <c r="B74" s="67"/>
      <c r="C74" s="328"/>
      <c r="D74" s="328"/>
      <c r="E74" s="328"/>
      <c r="F74" s="328"/>
      <c r="G74" s="328"/>
      <c r="H74" s="328"/>
      <c r="I74" s="328"/>
      <c r="J74" s="328"/>
      <c r="K74" s="328"/>
      <c r="L74" s="1219"/>
      <c r="M74" s="328">
        <v>480000</v>
      </c>
      <c r="N74" s="113">
        <f t="shared" si="55"/>
        <v>480000</v>
      </c>
      <c r="O74" s="989">
        <f>M74</f>
        <v>480000</v>
      </c>
      <c r="P74" s="989">
        <f t="shared" si="57"/>
        <v>480000</v>
      </c>
      <c r="Q74" s="937"/>
      <c r="R74" s="937"/>
      <c r="S74" s="989">
        <f t="shared" si="58"/>
        <v>480000</v>
      </c>
      <c r="T74" s="937"/>
      <c r="U74" s="937"/>
      <c r="V74" s="937"/>
      <c r="W74" s="937"/>
      <c r="X74" s="937"/>
      <c r="Y74" s="937"/>
      <c r="Z74" s="937"/>
      <c r="AA74" s="937"/>
      <c r="AB74" s="937"/>
      <c r="AC74" s="937"/>
      <c r="AD74" s="937"/>
      <c r="AE74" s="937"/>
      <c r="AF74" s="997">
        <f t="shared" si="59"/>
        <v>0</v>
      </c>
      <c r="AG74" s="997">
        <f t="shared" si="60"/>
        <v>0</v>
      </c>
      <c r="AH74" s="989">
        <f t="shared" si="61"/>
        <v>0</v>
      </c>
      <c r="AI74" s="989">
        <f t="shared" si="62"/>
        <v>480000</v>
      </c>
      <c r="AJ74" s="1230">
        <f t="shared" ref="AJ74:AJ76" si="64">N74-AH74</f>
        <v>480000</v>
      </c>
    </row>
    <row r="75" spans="1:36" x14ac:dyDescent="0.25">
      <c r="A75" s="796" t="s">
        <v>112</v>
      </c>
      <c r="B75" s="67" t="s">
        <v>113</v>
      </c>
      <c r="C75" s="328"/>
      <c r="D75" s="328"/>
      <c r="E75" s="328"/>
      <c r="F75" s="328"/>
      <c r="G75" s="328"/>
      <c r="H75" s="328"/>
      <c r="I75" s="328"/>
      <c r="J75" s="328"/>
      <c r="K75" s="328"/>
      <c r="L75" s="1219"/>
      <c r="M75" s="328"/>
      <c r="N75" s="113">
        <f t="shared" si="55"/>
        <v>0</v>
      </c>
      <c r="O75" s="989"/>
      <c r="P75" s="40"/>
      <c r="Q75" s="188"/>
      <c r="R75" s="188"/>
      <c r="S75" s="40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997">
        <f t="shared" si="59"/>
        <v>0</v>
      </c>
      <c r="AG75" s="997">
        <f t="shared" si="60"/>
        <v>0</v>
      </c>
      <c r="AH75" s="989">
        <f t="shared" si="61"/>
        <v>0</v>
      </c>
      <c r="AI75" s="989">
        <f t="shared" si="62"/>
        <v>0</v>
      </c>
      <c r="AJ75" s="1230">
        <f t="shared" si="64"/>
        <v>0</v>
      </c>
    </row>
    <row r="76" spans="1:36" x14ac:dyDescent="0.25">
      <c r="A76" s="329" t="s">
        <v>187</v>
      </c>
      <c r="B76" s="67"/>
      <c r="C76" s="328">
        <v>20000</v>
      </c>
      <c r="D76" s="328"/>
      <c r="E76" s="328"/>
      <c r="F76" s="328"/>
      <c r="G76" s="328"/>
      <c r="H76" s="328"/>
      <c r="I76" s="328"/>
      <c r="J76" s="328"/>
      <c r="K76" s="328"/>
      <c r="L76" s="1219"/>
      <c r="M76" s="328"/>
      <c r="N76" s="113">
        <f t="shared" si="55"/>
        <v>20000</v>
      </c>
      <c r="O76" s="989">
        <f t="shared" si="56"/>
        <v>20000</v>
      </c>
      <c r="P76" s="40">
        <f t="shared" si="57"/>
        <v>20000</v>
      </c>
      <c r="Q76" s="188"/>
      <c r="R76" s="188"/>
      <c r="S76" s="40">
        <f t="shared" si="58"/>
        <v>20000</v>
      </c>
      <c r="T76" s="188"/>
      <c r="U76" s="188"/>
      <c r="V76" s="188"/>
      <c r="W76" s="188"/>
      <c r="X76" s="188"/>
      <c r="Y76" s="188"/>
      <c r="Z76" s="188"/>
      <c r="AA76" s="188"/>
      <c r="AB76" s="188"/>
      <c r="AC76" s="188"/>
      <c r="AD76" s="188"/>
      <c r="AE76" s="188"/>
      <c r="AF76" s="997">
        <f t="shared" si="59"/>
        <v>0</v>
      </c>
      <c r="AG76" s="997">
        <f t="shared" si="60"/>
        <v>0</v>
      </c>
      <c r="AH76" s="989">
        <f t="shared" si="61"/>
        <v>0</v>
      </c>
      <c r="AI76" s="989">
        <f t="shared" si="62"/>
        <v>20000</v>
      </c>
      <c r="AJ76" s="1230">
        <f t="shared" si="64"/>
        <v>20000</v>
      </c>
    </row>
    <row r="77" spans="1:36" s="987" customFormat="1" x14ac:dyDescent="0.25">
      <c r="A77" s="1004" t="s">
        <v>1182</v>
      </c>
      <c r="B77" s="67"/>
      <c r="C77" s="328">
        <v>103255</v>
      </c>
      <c r="D77" s="328">
        <f>-16074</f>
        <v>-16074</v>
      </c>
      <c r="E77" s="328"/>
      <c r="F77" s="328"/>
      <c r="G77" s="328"/>
      <c r="H77" s="328"/>
      <c r="I77" s="328"/>
      <c r="J77" s="328"/>
      <c r="K77" s="328"/>
      <c r="L77" s="1219"/>
      <c r="M77" s="328"/>
      <c r="N77" s="113">
        <f t="shared" si="55"/>
        <v>87181</v>
      </c>
      <c r="O77" s="989">
        <f t="shared" si="56"/>
        <v>87181</v>
      </c>
      <c r="P77" s="989">
        <f t="shared" si="57"/>
        <v>87181</v>
      </c>
      <c r="Q77" s="937"/>
      <c r="R77" s="937"/>
      <c r="S77" s="989">
        <f t="shared" si="58"/>
        <v>87181</v>
      </c>
      <c r="T77" s="937"/>
      <c r="U77" s="937"/>
      <c r="V77" s="937"/>
      <c r="W77" s="937"/>
      <c r="X77" s="937"/>
      <c r="Y77" s="937"/>
      <c r="Z77" s="937"/>
      <c r="AA77" s="937"/>
      <c r="AB77" s="937"/>
      <c r="AC77" s="937"/>
      <c r="AD77" s="937"/>
      <c r="AE77" s="937"/>
      <c r="AF77" s="997">
        <f t="shared" si="59"/>
        <v>0</v>
      </c>
      <c r="AG77" s="997">
        <f t="shared" si="60"/>
        <v>0</v>
      </c>
      <c r="AH77" s="989">
        <f t="shared" si="61"/>
        <v>0</v>
      </c>
      <c r="AI77" s="989">
        <f t="shared" si="62"/>
        <v>87181</v>
      </c>
      <c r="AJ77" s="1230">
        <f t="shared" si="63"/>
        <v>87181</v>
      </c>
    </row>
    <row r="78" spans="1:36" x14ac:dyDescent="0.25">
      <c r="A78" s="1003" t="s">
        <v>1244</v>
      </c>
      <c r="B78" s="67" t="s">
        <v>114</v>
      </c>
      <c r="C78" s="328">
        <v>10000</v>
      </c>
      <c r="D78" s="328"/>
      <c r="E78" s="328"/>
      <c r="F78" s="328"/>
      <c r="G78" s="328"/>
      <c r="H78" s="328"/>
      <c r="I78" s="328"/>
      <c r="J78" s="328"/>
      <c r="K78" s="328"/>
      <c r="L78" s="1219"/>
      <c r="M78" s="328"/>
      <c r="N78" s="113">
        <f t="shared" si="55"/>
        <v>10000</v>
      </c>
      <c r="O78" s="989">
        <f t="shared" si="56"/>
        <v>10000</v>
      </c>
      <c r="P78" s="40">
        <f t="shared" si="57"/>
        <v>10000</v>
      </c>
      <c r="Q78" s="188"/>
      <c r="R78" s="188"/>
      <c r="S78" s="40">
        <f t="shared" si="58"/>
        <v>10000</v>
      </c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997">
        <f t="shared" si="59"/>
        <v>0</v>
      </c>
      <c r="AG78" s="997">
        <f t="shared" si="60"/>
        <v>0</v>
      </c>
      <c r="AH78" s="989">
        <f t="shared" si="61"/>
        <v>0</v>
      </c>
      <c r="AI78" s="989">
        <f t="shared" si="62"/>
        <v>10000</v>
      </c>
      <c r="AJ78" s="1230">
        <f t="shared" ref="AJ78:AJ82" si="65">N78-AH78</f>
        <v>10000</v>
      </c>
    </row>
    <row r="79" spans="1:36" s="987" customFormat="1" x14ac:dyDescent="0.25">
      <c r="A79" s="1003" t="s">
        <v>1245</v>
      </c>
      <c r="B79" s="100"/>
      <c r="C79" s="989"/>
      <c r="D79" s="989"/>
      <c r="E79" s="989"/>
      <c r="F79" s="989"/>
      <c r="G79" s="989"/>
      <c r="H79" s="989"/>
      <c r="I79" s="989"/>
      <c r="J79" s="989"/>
      <c r="K79" s="989"/>
      <c r="L79" s="1214"/>
      <c r="M79" s="989">
        <v>100000</v>
      </c>
      <c r="N79" s="113">
        <f t="shared" si="55"/>
        <v>100000</v>
      </c>
      <c r="O79" s="989">
        <f>M79</f>
        <v>100000</v>
      </c>
      <c r="P79" s="989">
        <f t="shared" si="57"/>
        <v>100000</v>
      </c>
      <c r="Q79" s="937"/>
      <c r="R79" s="937"/>
      <c r="S79" s="989">
        <f t="shared" si="58"/>
        <v>100000</v>
      </c>
      <c r="T79" s="937"/>
      <c r="U79" s="937"/>
      <c r="V79" s="937"/>
      <c r="W79" s="937"/>
      <c r="X79" s="937"/>
      <c r="Y79" s="937"/>
      <c r="Z79" s="937"/>
      <c r="AA79" s="937"/>
      <c r="AB79" s="937"/>
      <c r="AC79" s="937"/>
      <c r="AD79" s="937"/>
      <c r="AE79" s="937"/>
      <c r="AF79" s="997">
        <f t="shared" si="59"/>
        <v>0</v>
      </c>
      <c r="AG79" s="997">
        <f t="shared" si="60"/>
        <v>0</v>
      </c>
      <c r="AH79" s="989">
        <f t="shared" si="61"/>
        <v>0</v>
      </c>
      <c r="AI79" s="989">
        <f t="shared" si="62"/>
        <v>100000</v>
      </c>
      <c r="AJ79" s="1230">
        <f t="shared" si="65"/>
        <v>100000</v>
      </c>
    </row>
    <row r="80" spans="1:36" x14ac:dyDescent="0.25">
      <c r="A80" s="126" t="s">
        <v>115</v>
      </c>
      <c r="B80" s="129" t="s">
        <v>116</v>
      </c>
      <c r="C80" s="40"/>
      <c r="D80" s="989"/>
      <c r="E80" s="989"/>
      <c r="F80" s="989"/>
      <c r="G80" s="989"/>
      <c r="H80" s="989"/>
      <c r="I80" s="989"/>
      <c r="J80" s="989"/>
      <c r="K80" s="989"/>
      <c r="L80" s="1214"/>
      <c r="M80" s="989"/>
      <c r="N80" s="113">
        <f t="shared" si="55"/>
        <v>0</v>
      </c>
      <c r="O80" s="989"/>
      <c r="P80" s="40"/>
      <c r="Q80" s="188"/>
      <c r="R80" s="188"/>
      <c r="S80" s="40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997">
        <f t="shared" si="59"/>
        <v>0</v>
      </c>
      <c r="AG80" s="997">
        <f t="shared" si="60"/>
        <v>0</v>
      </c>
      <c r="AH80" s="989">
        <f t="shared" si="61"/>
        <v>0</v>
      </c>
      <c r="AI80" s="989">
        <f t="shared" si="62"/>
        <v>0</v>
      </c>
      <c r="AJ80" s="1230">
        <f t="shared" si="65"/>
        <v>0</v>
      </c>
    </row>
    <row r="81" spans="1:36" x14ac:dyDescent="0.25">
      <c r="A81" s="330" t="s">
        <v>188</v>
      </c>
      <c r="B81" s="100"/>
      <c r="C81" s="40">
        <v>20000</v>
      </c>
      <c r="D81" s="989"/>
      <c r="E81" s="989"/>
      <c r="F81" s="989"/>
      <c r="G81" s="989"/>
      <c r="H81" s="989"/>
      <c r="I81" s="989"/>
      <c r="J81" s="989"/>
      <c r="K81" s="989"/>
      <c r="L81" s="1214"/>
      <c r="M81" s="989"/>
      <c r="N81" s="113">
        <f t="shared" si="55"/>
        <v>20000</v>
      </c>
      <c r="O81" s="989">
        <f t="shared" si="56"/>
        <v>20000</v>
      </c>
      <c r="P81" s="40">
        <f t="shared" si="57"/>
        <v>20000</v>
      </c>
      <c r="Q81" s="188"/>
      <c r="R81" s="188"/>
      <c r="S81" s="40">
        <f t="shared" si="58"/>
        <v>20000</v>
      </c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997">
        <f t="shared" si="59"/>
        <v>0</v>
      </c>
      <c r="AG81" s="997">
        <f t="shared" si="60"/>
        <v>0</v>
      </c>
      <c r="AH81" s="989">
        <f t="shared" si="61"/>
        <v>0</v>
      </c>
      <c r="AI81" s="989">
        <f t="shared" si="62"/>
        <v>20000</v>
      </c>
      <c r="AJ81" s="1230">
        <f t="shared" si="65"/>
        <v>20000</v>
      </c>
    </row>
    <row r="82" spans="1:36" x14ac:dyDescent="0.25">
      <c r="A82" s="330" t="s">
        <v>189</v>
      </c>
      <c r="B82" s="100"/>
      <c r="C82" s="40">
        <v>15000</v>
      </c>
      <c r="D82" s="989"/>
      <c r="E82" s="989"/>
      <c r="F82" s="989"/>
      <c r="G82" s="989"/>
      <c r="H82" s="989"/>
      <c r="I82" s="989"/>
      <c r="J82" s="989"/>
      <c r="K82" s="989"/>
      <c r="L82" s="1214"/>
      <c r="M82" s="989"/>
      <c r="N82" s="113">
        <f t="shared" si="55"/>
        <v>15000</v>
      </c>
      <c r="O82" s="989">
        <f t="shared" si="56"/>
        <v>15000</v>
      </c>
      <c r="P82" s="40">
        <f t="shared" si="57"/>
        <v>15000</v>
      </c>
      <c r="Q82" s="188"/>
      <c r="R82" s="188"/>
      <c r="S82" s="40">
        <f t="shared" si="58"/>
        <v>15000</v>
      </c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997">
        <f t="shared" si="59"/>
        <v>0</v>
      </c>
      <c r="AG82" s="997">
        <f t="shared" si="60"/>
        <v>0</v>
      </c>
      <c r="AH82" s="989">
        <f t="shared" si="61"/>
        <v>0</v>
      </c>
      <c r="AI82" s="989">
        <f t="shared" si="62"/>
        <v>15000</v>
      </c>
      <c r="AJ82" s="1230">
        <f t="shared" si="65"/>
        <v>15000</v>
      </c>
    </row>
    <row r="83" spans="1:36" s="987" customFormat="1" x14ac:dyDescent="0.25">
      <c r="A83" s="330" t="s">
        <v>1243</v>
      </c>
      <c r="B83" s="100"/>
      <c r="C83" s="989"/>
      <c r="D83" s="989"/>
      <c r="E83" s="989"/>
      <c r="F83" s="989"/>
      <c r="G83" s="989"/>
      <c r="H83" s="989"/>
      <c r="I83" s="989"/>
      <c r="J83" s="989"/>
      <c r="K83" s="989"/>
      <c r="L83" s="1214"/>
      <c r="M83" s="989">
        <v>170000</v>
      </c>
      <c r="N83" s="113">
        <f t="shared" si="55"/>
        <v>170000</v>
      </c>
      <c r="O83" s="989">
        <f>N83</f>
        <v>170000</v>
      </c>
      <c r="P83" s="989">
        <f t="shared" ref="P83:P84" si="66">N83</f>
        <v>170000</v>
      </c>
      <c r="Q83" s="937"/>
      <c r="R83" s="937"/>
      <c r="S83" s="989">
        <f t="shared" ref="S83:S84" si="67">N83</f>
        <v>170000</v>
      </c>
      <c r="T83" s="937"/>
      <c r="U83" s="937"/>
      <c r="V83" s="937"/>
      <c r="W83" s="937"/>
      <c r="X83" s="937"/>
      <c r="Y83" s="937"/>
      <c r="Z83" s="937"/>
      <c r="AA83" s="937"/>
      <c r="AB83" s="937"/>
      <c r="AC83" s="937"/>
      <c r="AD83" s="937"/>
      <c r="AE83" s="937"/>
      <c r="AF83" s="997">
        <f t="shared" si="59"/>
        <v>0</v>
      </c>
      <c r="AG83" s="997">
        <f t="shared" si="60"/>
        <v>0</v>
      </c>
      <c r="AH83" s="989">
        <f t="shared" si="61"/>
        <v>0</v>
      </c>
      <c r="AI83" s="989">
        <f t="shared" si="62"/>
        <v>170000</v>
      </c>
      <c r="AJ83" s="1230">
        <f t="shared" ref="AJ83:AJ84" si="68">N83-AH83</f>
        <v>170000</v>
      </c>
    </row>
    <row r="84" spans="1:36" s="987" customFormat="1" x14ac:dyDescent="0.25">
      <c r="A84" s="1110" t="s">
        <v>1241</v>
      </c>
      <c r="B84" s="100"/>
      <c r="C84" s="989"/>
      <c r="D84" s="989"/>
      <c r="E84" s="989"/>
      <c r="F84" s="989"/>
      <c r="G84" s="989"/>
      <c r="H84" s="989"/>
      <c r="I84" s="989"/>
      <c r="J84" s="989"/>
      <c r="K84" s="989"/>
      <c r="L84" s="1214"/>
      <c r="M84" s="989">
        <v>1000000</v>
      </c>
      <c r="N84" s="113">
        <f t="shared" si="55"/>
        <v>1000000</v>
      </c>
      <c r="O84" s="989">
        <f>N84</f>
        <v>1000000</v>
      </c>
      <c r="P84" s="989">
        <f t="shared" si="66"/>
        <v>1000000</v>
      </c>
      <c r="Q84" s="937"/>
      <c r="R84" s="937"/>
      <c r="S84" s="989">
        <f t="shared" si="67"/>
        <v>1000000</v>
      </c>
      <c r="T84" s="937"/>
      <c r="U84" s="937"/>
      <c r="V84" s="937"/>
      <c r="W84" s="937"/>
      <c r="X84" s="937"/>
      <c r="Y84" s="937"/>
      <c r="Z84" s="937"/>
      <c r="AA84" s="937"/>
      <c r="AB84" s="937"/>
      <c r="AC84" s="937"/>
      <c r="AD84" s="937"/>
      <c r="AE84" s="937"/>
      <c r="AF84" s="997">
        <f t="shared" si="59"/>
        <v>0</v>
      </c>
      <c r="AG84" s="997">
        <f t="shared" si="60"/>
        <v>0</v>
      </c>
      <c r="AH84" s="989">
        <f t="shared" si="61"/>
        <v>0</v>
      </c>
      <c r="AI84" s="989">
        <f t="shared" si="62"/>
        <v>1000000</v>
      </c>
      <c r="AJ84" s="1230">
        <f t="shared" si="68"/>
        <v>1000000</v>
      </c>
    </row>
    <row r="85" spans="1:36" s="745" customFormat="1" ht="16.5" x14ac:dyDescent="0.3">
      <c r="A85" s="128" t="s">
        <v>326</v>
      </c>
      <c r="B85" s="784"/>
      <c r="C85" s="298">
        <f t="shared" ref="C85:AJ85" si="69">SUM(C72:C84)</f>
        <v>347843</v>
      </c>
      <c r="D85" s="298">
        <f t="shared" ref="D85:E85" si="70">SUM(D72:D84)</f>
        <v>-16074</v>
      </c>
      <c r="E85" s="298">
        <f t="shared" si="70"/>
        <v>0</v>
      </c>
      <c r="F85" s="298">
        <f t="shared" si="69"/>
        <v>0</v>
      </c>
      <c r="G85" s="298">
        <f t="shared" si="69"/>
        <v>0</v>
      </c>
      <c r="H85" s="298">
        <f t="shared" ref="H85" si="71">SUM(H72:H84)</f>
        <v>0</v>
      </c>
      <c r="I85" s="298">
        <f t="shared" si="69"/>
        <v>0</v>
      </c>
      <c r="J85" s="298">
        <f t="shared" si="69"/>
        <v>0</v>
      </c>
      <c r="K85" s="298">
        <f t="shared" si="69"/>
        <v>0</v>
      </c>
      <c r="L85" s="298">
        <f t="shared" si="69"/>
        <v>0</v>
      </c>
      <c r="M85" s="298">
        <f t="shared" si="69"/>
        <v>1750000</v>
      </c>
      <c r="N85" s="298">
        <f t="shared" si="69"/>
        <v>2081769</v>
      </c>
      <c r="O85" s="298">
        <f t="shared" si="69"/>
        <v>2081769</v>
      </c>
      <c r="P85" s="298">
        <f t="shared" si="69"/>
        <v>2081769</v>
      </c>
      <c r="Q85" s="298">
        <f t="shared" si="69"/>
        <v>0</v>
      </c>
      <c r="R85" s="298">
        <f t="shared" si="69"/>
        <v>0</v>
      </c>
      <c r="S85" s="298">
        <f t="shared" si="69"/>
        <v>2081769</v>
      </c>
      <c r="T85" s="298">
        <f t="shared" si="69"/>
        <v>0</v>
      </c>
      <c r="U85" s="298">
        <f t="shared" si="69"/>
        <v>0</v>
      </c>
      <c r="V85" s="298">
        <f t="shared" si="69"/>
        <v>0</v>
      </c>
      <c r="W85" s="298">
        <f t="shared" si="69"/>
        <v>0</v>
      </c>
      <c r="X85" s="298">
        <f t="shared" si="69"/>
        <v>0</v>
      </c>
      <c r="Y85" s="298">
        <f t="shared" si="69"/>
        <v>0</v>
      </c>
      <c r="Z85" s="298">
        <f t="shared" si="69"/>
        <v>0</v>
      </c>
      <c r="AA85" s="298">
        <f t="shared" si="69"/>
        <v>0</v>
      </c>
      <c r="AB85" s="298">
        <f t="shared" si="69"/>
        <v>0</v>
      </c>
      <c r="AC85" s="298">
        <f t="shared" si="69"/>
        <v>0</v>
      </c>
      <c r="AD85" s="298">
        <f t="shared" si="69"/>
        <v>0</v>
      </c>
      <c r="AE85" s="298">
        <f t="shared" si="69"/>
        <v>0</v>
      </c>
      <c r="AF85" s="298">
        <f t="shared" si="69"/>
        <v>0</v>
      </c>
      <c r="AG85" s="298">
        <f t="shared" si="69"/>
        <v>0</v>
      </c>
      <c r="AH85" s="298">
        <f t="shared" si="69"/>
        <v>0</v>
      </c>
      <c r="AI85" s="298">
        <f t="shared" si="69"/>
        <v>2081769</v>
      </c>
      <c r="AJ85" s="1310">
        <f t="shared" si="69"/>
        <v>2081769</v>
      </c>
    </row>
    <row r="86" spans="1:36" ht="16.5" x14ac:dyDescent="0.3">
      <c r="A86" s="128" t="s">
        <v>190</v>
      </c>
      <c r="B86" s="130"/>
      <c r="C86" s="306">
        <f t="shared" ref="C86:AJ86" si="72">C69+C85</f>
        <v>2548514.25</v>
      </c>
      <c r="D86" s="306">
        <f t="shared" ref="D86:E86" si="73">D69+D85</f>
        <v>0</v>
      </c>
      <c r="E86" s="306">
        <f t="shared" si="73"/>
        <v>0</v>
      </c>
      <c r="F86" s="306">
        <f t="shared" si="72"/>
        <v>0</v>
      </c>
      <c r="G86" s="306">
        <f t="shared" si="72"/>
        <v>0</v>
      </c>
      <c r="H86" s="306">
        <f t="shared" ref="H86" si="74">H69+H85</f>
        <v>0</v>
      </c>
      <c r="I86" s="306">
        <f t="shared" si="72"/>
        <v>-18745.25</v>
      </c>
      <c r="J86" s="306">
        <f t="shared" si="72"/>
        <v>0</v>
      </c>
      <c r="K86" s="306">
        <f t="shared" si="72"/>
        <v>0</v>
      </c>
      <c r="L86" s="306">
        <f t="shared" si="72"/>
        <v>0</v>
      </c>
      <c r="M86" s="306">
        <f t="shared" si="72"/>
        <v>1750000</v>
      </c>
      <c r="N86" s="306">
        <f t="shared" si="72"/>
        <v>4279769</v>
      </c>
      <c r="O86" s="306">
        <f t="shared" si="72"/>
        <v>4279769</v>
      </c>
      <c r="P86" s="306">
        <f t="shared" si="72"/>
        <v>4279769</v>
      </c>
      <c r="Q86" s="306">
        <f t="shared" si="72"/>
        <v>0</v>
      </c>
      <c r="R86" s="306">
        <f t="shared" si="72"/>
        <v>0</v>
      </c>
      <c r="S86" s="306">
        <f t="shared" si="72"/>
        <v>4279769</v>
      </c>
      <c r="T86" s="306">
        <f t="shared" si="72"/>
        <v>0</v>
      </c>
      <c r="U86" s="306">
        <f t="shared" si="72"/>
        <v>0</v>
      </c>
      <c r="V86" s="306">
        <f t="shared" si="72"/>
        <v>0</v>
      </c>
      <c r="W86" s="306">
        <f t="shared" si="72"/>
        <v>0</v>
      </c>
      <c r="X86" s="306">
        <f t="shared" si="72"/>
        <v>0</v>
      </c>
      <c r="Y86" s="306">
        <f t="shared" si="72"/>
        <v>0</v>
      </c>
      <c r="Z86" s="306">
        <f t="shared" si="72"/>
        <v>0</v>
      </c>
      <c r="AA86" s="306">
        <f t="shared" si="72"/>
        <v>0</v>
      </c>
      <c r="AB86" s="306">
        <f t="shared" si="72"/>
        <v>0</v>
      </c>
      <c r="AC86" s="306">
        <f t="shared" si="72"/>
        <v>63500</v>
      </c>
      <c r="AD86" s="306">
        <f t="shared" si="72"/>
        <v>0</v>
      </c>
      <c r="AE86" s="306">
        <f t="shared" si="72"/>
        <v>0</v>
      </c>
      <c r="AF86" s="306">
        <f t="shared" si="72"/>
        <v>0</v>
      </c>
      <c r="AG86" s="306">
        <f t="shared" si="72"/>
        <v>63500</v>
      </c>
      <c r="AH86" s="306">
        <f t="shared" si="72"/>
        <v>63500</v>
      </c>
      <c r="AI86" s="306">
        <f t="shared" si="72"/>
        <v>4216269</v>
      </c>
      <c r="AJ86" s="1008">
        <f t="shared" si="72"/>
        <v>4216269</v>
      </c>
    </row>
    <row r="87" spans="1:36" ht="17.25" thickBot="1" x14ac:dyDescent="0.35">
      <c r="A87" s="131" t="s">
        <v>160</v>
      </c>
      <c r="B87" s="132"/>
      <c r="C87" s="331">
        <f t="shared" ref="C87:AJ87" si="75">+C86+C55+C26</f>
        <v>29452877.48</v>
      </c>
      <c r="D87" s="331">
        <f t="shared" ref="D87:E87" si="76">+D86+D55+D26</f>
        <v>0</v>
      </c>
      <c r="E87" s="331">
        <f t="shared" si="76"/>
        <v>-282970.68000000005</v>
      </c>
      <c r="F87" s="331">
        <f t="shared" si="75"/>
        <v>-565941.33000000007</v>
      </c>
      <c r="G87" s="331">
        <f t="shared" si="75"/>
        <v>0</v>
      </c>
      <c r="H87" s="331">
        <f t="shared" ref="H87" si="77">+H86+H55+H26</f>
        <v>40480</v>
      </c>
      <c r="I87" s="331">
        <f t="shared" si="75"/>
        <v>-18745.25</v>
      </c>
      <c r="J87" s="331">
        <f t="shared" si="75"/>
        <v>219387.33000000002</v>
      </c>
      <c r="K87" s="331">
        <f t="shared" si="75"/>
        <v>0</v>
      </c>
      <c r="L87" s="331">
        <f t="shared" si="75"/>
        <v>-956655.36</v>
      </c>
      <c r="M87" s="331">
        <f t="shared" si="75"/>
        <v>1750000</v>
      </c>
      <c r="N87" s="331">
        <f t="shared" si="75"/>
        <v>29638432.190000001</v>
      </c>
      <c r="O87" s="331">
        <f t="shared" si="75"/>
        <v>23317766.392499998</v>
      </c>
      <c r="P87" s="331">
        <f t="shared" si="75"/>
        <v>6392990.9325000001</v>
      </c>
      <c r="Q87" s="331">
        <f t="shared" si="75"/>
        <v>0</v>
      </c>
      <c r="R87" s="331">
        <f t="shared" si="75"/>
        <v>0</v>
      </c>
      <c r="S87" s="331">
        <f t="shared" si="75"/>
        <v>25430988.325000003</v>
      </c>
      <c r="T87" s="331">
        <f t="shared" si="75"/>
        <v>1447911.02</v>
      </c>
      <c r="U87" s="331">
        <f t="shared" si="75"/>
        <v>1463443.29</v>
      </c>
      <c r="V87" s="331">
        <f t="shared" si="75"/>
        <v>1516146.2200000002</v>
      </c>
      <c r="W87" s="331">
        <f t="shared" si="75"/>
        <v>1557722.28</v>
      </c>
      <c r="X87" s="331">
        <f t="shared" si="75"/>
        <v>2419766.1999999997</v>
      </c>
      <c r="Y87" s="331">
        <f t="shared" si="75"/>
        <v>1473760.23</v>
      </c>
      <c r="Z87" s="331">
        <f t="shared" si="75"/>
        <v>1521457.7</v>
      </c>
      <c r="AA87" s="331">
        <f t="shared" si="75"/>
        <v>1531039.5799999998</v>
      </c>
      <c r="AB87" s="331">
        <f t="shared" si="75"/>
        <v>1590252.2599999998</v>
      </c>
      <c r="AC87" s="331">
        <f t="shared" si="75"/>
        <v>1574961.77</v>
      </c>
      <c r="AD87" s="331">
        <f t="shared" si="75"/>
        <v>0</v>
      </c>
      <c r="AE87" s="331">
        <f t="shared" si="75"/>
        <v>0</v>
      </c>
      <c r="AF87" s="331">
        <f t="shared" si="75"/>
        <v>14521498.779999999</v>
      </c>
      <c r="AG87" s="331">
        <f t="shared" si="75"/>
        <v>1574961.77</v>
      </c>
      <c r="AH87" s="331">
        <f t="shared" si="75"/>
        <v>16096460.550000001</v>
      </c>
      <c r="AI87" s="331">
        <f t="shared" si="75"/>
        <v>9334527.7750000004</v>
      </c>
      <c r="AJ87" s="749">
        <f t="shared" si="75"/>
        <v>13541971.640000001</v>
      </c>
    </row>
    <row r="88" spans="1:36" ht="15.75" thickTop="1" x14ac:dyDescent="0.25"/>
    <row r="89" spans="1:36" ht="20.25" customHeight="1" x14ac:dyDescent="0.25">
      <c r="A89" s="21" t="s">
        <v>354</v>
      </c>
      <c r="B89" s="30"/>
      <c r="C89" s="35"/>
      <c r="D89" s="35"/>
      <c r="E89" s="35"/>
      <c r="F89" s="35"/>
      <c r="G89" s="35"/>
      <c r="H89" s="35"/>
      <c r="I89" s="35"/>
      <c r="J89" s="35"/>
      <c r="K89" s="35"/>
      <c r="L89" s="1221"/>
      <c r="M89" s="35"/>
      <c r="N89" s="35"/>
      <c r="O89" s="35"/>
      <c r="P89" s="35"/>
      <c r="AI89" s="259" t="s">
        <v>357</v>
      </c>
    </row>
    <row r="91" spans="1:36" x14ac:dyDescent="0.25">
      <c r="B91" s="32"/>
      <c r="C91" s="36"/>
      <c r="D91" s="36"/>
      <c r="E91" s="36"/>
      <c r="F91" s="36"/>
      <c r="G91" s="36"/>
      <c r="H91" s="36"/>
      <c r="I91" s="36"/>
      <c r="J91" s="36"/>
      <c r="K91" s="36"/>
      <c r="L91" s="1222"/>
      <c r="M91" s="36"/>
      <c r="N91" s="36"/>
      <c r="O91" s="36"/>
      <c r="P91" s="36"/>
    </row>
    <row r="92" spans="1:36" x14ac:dyDescent="0.25">
      <c r="A92" s="258" t="s">
        <v>355</v>
      </c>
      <c r="B92" s="14"/>
      <c r="C92" s="31"/>
      <c r="D92" s="31"/>
      <c r="E92" s="31"/>
      <c r="F92" s="31"/>
      <c r="G92" s="31"/>
      <c r="H92" s="31"/>
      <c r="I92" s="31"/>
      <c r="J92" s="31"/>
      <c r="K92" s="31"/>
      <c r="L92" s="1223"/>
      <c r="M92" s="31"/>
      <c r="N92" s="31"/>
      <c r="O92" s="31"/>
      <c r="P92" s="31"/>
      <c r="AI92" s="260" t="s">
        <v>358</v>
      </c>
    </row>
    <row r="93" spans="1:36" x14ac:dyDescent="0.25">
      <c r="A93" s="259" t="s">
        <v>356</v>
      </c>
      <c r="AI93" s="259" t="s">
        <v>359</v>
      </c>
    </row>
  </sheetData>
  <mergeCells count="3">
    <mergeCell ref="A3:AJ3"/>
    <mergeCell ref="A2:AJ2"/>
    <mergeCell ref="A1:AJ1"/>
  </mergeCells>
  <printOptions horizontalCentered="1" verticalCentered="1" headings="1"/>
  <pageMargins left="0.81496062999999996" right="0.25" top="0.60433070899999997" bottom="0" header="0.11811023599999999" footer="0.11811023599999999"/>
  <pageSetup paperSize="5" scale="89" orientation="landscape" r:id="rId1"/>
  <rowBreaks count="2" manualBreakCount="2">
    <brk id="35" max="32" man="1"/>
    <brk id="69" max="32" man="1"/>
  </rowBreaks>
  <colBreaks count="1" manualBreakCount="1">
    <brk id="10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20</vt:i4>
      </vt:variant>
    </vt:vector>
  </HeadingPairs>
  <TitlesOfParts>
    <vt:vector size="58" baseType="lpstr">
      <vt:lpstr>1021-GIST</vt:lpstr>
      <vt:lpstr>1011-MO</vt:lpstr>
      <vt:lpstr>1012-BPLO</vt:lpstr>
      <vt:lpstr>1013-HRMO (2)</vt:lpstr>
      <vt:lpstr>1013-HRMO</vt:lpstr>
      <vt:lpstr>COA-1015</vt:lpstr>
      <vt:lpstr>MA (2A)</vt:lpstr>
      <vt:lpstr>MA</vt:lpstr>
      <vt:lpstr>1016-SBO</vt:lpstr>
      <vt:lpstr>1017-NDRRMO5% (2)</vt:lpstr>
      <vt:lpstr>1017-NDRRMO5%</vt:lpstr>
      <vt:lpstr>PESO-1018</vt:lpstr>
      <vt:lpstr>PESO 2A</vt:lpstr>
      <vt:lpstr>1019-NDRRM-ADMIN</vt:lpstr>
      <vt:lpstr>1020-TOURISM (2A)</vt:lpstr>
      <vt:lpstr>1020-TOURISM</vt:lpstr>
      <vt:lpstr>BAC</vt:lpstr>
      <vt:lpstr>1022-KALAHI</vt:lpstr>
      <vt:lpstr>1023-MARKET</vt:lpstr>
      <vt:lpstr>1024-SLAUGHTER</vt:lpstr>
      <vt:lpstr>1025-CEMETERY</vt:lpstr>
      <vt:lpstr>1022BAMBOO</vt:lpstr>
      <vt:lpstr>1041-MPDO</vt:lpstr>
      <vt:lpstr>1051-MCRO</vt:lpstr>
      <vt:lpstr>1071-MBO</vt:lpstr>
      <vt:lpstr>1081-MACCO</vt:lpstr>
      <vt:lpstr>1091-MTO</vt:lpstr>
      <vt:lpstr>1101-MASSO</vt:lpstr>
      <vt:lpstr>4411-MHO</vt:lpstr>
      <vt:lpstr>7611-MSWDO</vt:lpstr>
      <vt:lpstr>8711-MAGO</vt:lpstr>
      <vt:lpstr>8712-MENRO</vt:lpstr>
      <vt:lpstr>8751-MEO</vt:lpstr>
      <vt:lpstr>9997-SPA</vt:lpstr>
      <vt:lpstr>ppiipy realignment</vt:lpstr>
      <vt:lpstr>9911PY 2012-2018</vt:lpstr>
      <vt:lpstr>CY 9911</vt:lpstr>
      <vt:lpstr>BAYANIHAN2021</vt:lpstr>
      <vt:lpstr>'1011-MO'!Print_Area</vt:lpstr>
      <vt:lpstr>'1016-SBO'!Print_Area</vt:lpstr>
      <vt:lpstr>'1017-NDRRMO5%'!Print_Area</vt:lpstr>
      <vt:lpstr>'1017-NDRRMO5% (2)'!Print_Area</vt:lpstr>
      <vt:lpstr>'1020-TOURISM'!Print_Area</vt:lpstr>
      <vt:lpstr>'1022-KALAHI'!Print_Area</vt:lpstr>
      <vt:lpstr>'1051-MCRO'!Print_Area</vt:lpstr>
      <vt:lpstr>'1071-MBO'!Print_Area</vt:lpstr>
      <vt:lpstr>'1081-MACCO'!Print_Area</vt:lpstr>
      <vt:lpstr>'1091-MTO'!Print_Area</vt:lpstr>
      <vt:lpstr>'1101-MASSO'!Print_Area</vt:lpstr>
      <vt:lpstr>'4411-MHO'!Print_Area</vt:lpstr>
      <vt:lpstr>'7611-MSWDO'!Print_Area</vt:lpstr>
      <vt:lpstr>'8711-MAGO'!Print_Area</vt:lpstr>
      <vt:lpstr>'8751-MEO'!Print_Area</vt:lpstr>
      <vt:lpstr>'9911PY 2012-2018'!Print_Area</vt:lpstr>
      <vt:lpstr>'COA-1015'!Print_Area</vt:lpstr>
      <vt:lpstr>'MA (2A)'!Print_Area</vt:lpstr>
      <vt:lpstr>'PESO-1018'!Print_Area</vt:lpstr>
      <vt:lpstr>'ppiipy realignment'!Print_Area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Budget102</cp:lastModifiedBy>
  <cp:lastPrinted>2021-11-12T03:35:39Z</cp:lastPrinted>
  <dcterms:created xsi:type="dcterms:W3CDTF">2019-01-07T00:22:14Z</dcterms:created>
  <dcterms:modified xsi:type="dcterms:W3CDTF">2021-11-17T00:49:54Z</dcterms:modified>
</cp:coreProperties>
</file>