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Documents\MACO Files\MACO FILES\Full Disclosure Reports - DILG\DILG Reports\"/>
    </mc:Choice>
  </mc:AlternateContent>
  <xr:revisionPtr revIDLastSave="0" documentId="8_{64659402-B477-46F3-82E8-0F75BC90E6F0}" xr6:coauthVersionLast="38" xr6:coauthVersionMax="38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M41" i="1"/>
  <c r="G38" i="1"/>
  <c r="F38" i="1"/>
  <c r="C38" i="1"/>
  <c r="G37" i="1"/>
  <c r="C37" i="1"/>
  <c r="G36" i="1"/>
  <c r="F36" i="1" s="1"/>
  <c r="C36" i="1"/>
  <c r="G34" i="1"/>
  <c r="C34" i="1"/>
  <c r="G33" i="1"/>
  <c r="F33" i="1" s="1"/>
  <c r="C33" i="1"/>
  <c r="G32" i="1"/>
  <c r="F32" i="1" s="1"/>
  <c r="C32" i="1"/>
  <c r="G31" i="1"/>
  <c r="F31" i="1"/>
  <c r="G30" i="1"/>
  <c r="F30" i="1" s="1"/>
  <c r="C30" i="1"/>
  <c r="G29" i="1"/>
  <c r="C29" i="1"/>
  <c r="G28" i="1"/>
  <c r="F28" i="1" s="1"/>
  <c r="G26" i="1"/>
  <c r="F26" i="1"/>
  <c r="C26" i="1"/>
  <c r="G24" i="1"/>
  <c r="C24" i="1"/>
  <c r="G23" i="1"/>
  <c r="F23" i="1" s="1"/>
  <c r="C23" i="1"/>
  <c r="G20" i="1"/>
  <c r="C20" i="1"/>
  <c r="G19" i="1"/>
  <c r="F19" i="1" s="1"/>
  <c r="C19" i="1"/>
  <c r="G17" i="1"/>
  <c r="F17" i="1" s="1"/>
  <c r="C17" i="1"/>
  <c r="G15" i="1"/>
  <c r="C15" i="1"/>
  <c r="F15" i="1" s="1"/>
  <c r="G14" i="1"/>
  <c r="F14" i="1" s="1"/>
  <c r="C14" i="1"/>
  <c r="G13" i="1"/>
  <c r="C13" i="1"/>
  <c r="L13" i="1" s="1"/>
  <c r="G12" i="1"/>
  <c r="G39" i="1" s="1"/>
  <c r="C12" i="1"/>
  <c r="F13" i="1" l="1"/>
  <c r="F20" i="1"/>
  <c r="F29" i="1"/>
  <c r="F34" i="1"/>
  <c r="F12" i="1"/>
  <c r="F24" i="1"/>
  <c r="F37" i="1"/>
  <c r="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Gloria:</t>
        </r>
        <r>
          <rPr>
            <sz val="9"/>
            <color indexed="81"/>
            <rFont val="Tahoma"/>
            <family val="2"/>
          </rPr>
          <t xml:space="preserve">
APPROPRIATION/ bal.of 2017
</t>
        </r>
      </text>
    </comment>
  </commentList>
</comments>
</file>

<file path=xl/sharedStrings.xml><?xml version="1.0" encoding="utf-8"?>
<sst xmlns="http://schemas.openxmlformats.org/spreadsheetml/2006/main" count="109" uniqueCount="86">
  <si>
    <t>FDPP Form 7 - 20% Component of the IRA Utilization</t>
  </si>
  <si>
    <t>20% COMPONENT OF THE IRA UTILIZATION</t>
  </si>
  <si>
    <r>
      <t xml:space="preserve">FOR THE  3rd QUARTER, CY </t>
    </r>
    <r>
      <rPr>
        <b/>
        <u/>
        <sz val="14"/>
        <color rgb="FF000000"/>
        <rFont val="Arial"/>
        <family val="2"/>
      </rPr>
      <t>2018</t>
    </r>
  </si>
  <si>
    <r>
      <t>Province, City or Municipality:</t>
    </r>
    <r>
      <rPr>
        <u/>
        <sz val="12"/>
        <color rgb="FF000000"/>
        <rFont val="Arial"/>
        <family val="2"/>
      </rPr>
      <t xml:space="preserve"> </t>
    </r>
    <r>
      <rPr>
        <b/>
        <u/>
        <sz val="12"/>
        <color rgb="FF000000"/>
        <rFont val="Arial"/>
        <family val="2"/>
      </rPr>
      <t>Gloria, Oriental Mindoro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</si>
  <si>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</si>
  <si>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</si>
  <si>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</si>
  <si>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</si>
  <si>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</si>
  <si>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</si>
  <si>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</si>
  <si>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</si>
  <si>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</si>
  <si>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</si>
  <si>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 SECTOR</t>
  </si>
  <si>
    <t>Social Welfare Services</t>
  </si>
  <si>
    <t xml:space="preserve">      Senior Citizens Hall-Maligaya</t>
  </si>
  <si>
    <t>Maligaya</t>
  </si>
  <si>
    <t>1-25-2018</t>
  </si>
  <si>
    <t>12-31-2018</t>
  </si>
  <si>
    <t xml:space="preserve">      Rehabilitation and Improvement of Senior Citizen Multi-Purpose Buildings</t>
  </si>
  <si>
    <t>1-12-2017</t>
  </si>
  <si>
    <t xml:space="preserve">      Construction of Multi-Purpose Building-cum-Evacuation Center in Sta. Maria and Narra</t>
  </si>
  <si>
    <t>Sta. Maria and Narra</t>
  </si>
  <si>
    <t>12-13-2017</t>
  </si>
  <si>
    <t xml:space="preserve">     Purchase of Relocation Land for the Landless Indigent Families (70% Municipal Counterpart)</t>
  </si>
  <si>
    <t>various barangays</t>
  </si>
  <si>
    <t>9-11-2014</t>
  </si>
  <si>
    <t>Educational Service</t>
  </si>
  <si>
    <t xml:space="preserve">     Construction &amp; Establishment of Manpower  Development Center (Tech-Voc School/GSAT)</t>
  </si>
  <si>
    <t>6-9-2015</t>
  </si>
  <si>
    <t>Health services</t>
  </si>
  <si>
    <t>Completion of RHU Building (Formerly Medicare Hospital)</t>
  </si>
  <si>
    <t>6-17-2016</t>
  </si>
  <si>
    <t>Placenta pit constructed</t>
  </si>
  <si>
    <t>5-12-2017</t>
  </si>
  <si>
    <t>6-30-2018</t>
  </si>
  <si>
    <t>ECONOMIC SERVICES SECTOR</t>
  </si>
  <si>
    <t>Environmental Management Service</t>
  </si>
  <si>
    <t xml:space="preserve">      Suma-Landfill Nawa (SLN) ang Basura ng Gloria Project (Operation of Sanitary Landfill Category I)</t>
  </si>
  <si>
    <t>Agos</t>
  </si>
  <si>
    <t>2-27-2018</t>
  </si>
  <si>
    <t>Acquisition &amp; Development of Landfill</t>
  </si>
  <si>
    <t>3-23-2017</t>
  </si>
  <si>
    <t>Engineering Services - Construction and Maintenance</t>
  </si>
  <si>
    <t>Additional KC-NCDDP Tier 2 Counterpart</t>
  </si>
  <si>
    <t>var. brgys.</t>
  </si>
  <si>
    <t>8-15-18</t>
  </si>
  <si>
    <t>12-30-18</t>
  </si>
  <si>
    <t>Repair of Ikot Bayan Tricycle  Terminal</t>
  </si>
  <si>
    <t>Pob. Public Market</t>
  </si>
  <si>
    <t>10-9-18</t>
  </si>
  <si>
    <t>12-26-18</t>
  </si>
  <si>
    <t xml:space="preserve">      Concreting of Municipal Road/Municipal Streets</t>
  </si>
  <si>
    <t>10-10-2017</t>
  </si>
  <si>
    <t>12-22-2018</t>
  </si>
  <si>
    <t>Capt. Exp. For local Economic Dev. Proj.Mun.Plaza-Kubotel</t>
  </si>
  <si>
    <t>Mun. Plaza/Mun.Oval</t>
  </si>
  <si>
    <t>7-12-18</t>
  </si>
  <si>
    <t>12-28-18</t>
  </si>
  <si>
    <t>Conts.of Mun.Cemetery Drainage Canal</t>
  </si>
  <si>
    <t>Mun.Cemeteryat Balagbag Maligaya</t>
  </si>
  <si>
    <t>7-20-18</t>
  </si>
  <si>
    <t>Conts.of Apartment type niches</t>
  </si>
  <si>
    <t>Repair of Rehab of Public Marketstalls</t>
  </si>
  <si>
    <t>Pub. Market at Pob. Gloria</t>
  </si>
  <si>
    <t>8-10-18</t>
  </si>
  <si>
    <t>12-20-18</t>
  </si>
  <si>
    <t>Improvement of Phantom Cave</t>
  </si>
  <si>
    <t>Bgry. Malubay</t>
  </si>
  <si>
    <t>8-05-18</t>
  </si>
  <si>
    <t>Agriculture Services</t>
  </si>
  <si>
    <t>Maint. Improvement of Mangrove area</t>
  </si>
  <si>
    <t>var.coastal brgys.</t>
  </si>
  <si>
    <t>Construction of PIG PEN</t>
  </si>
  <si>
    <t>Mun. Farm</t>
  </si>
  <si>
    <t>9-21-18</t>
  </si>
  <si>
    <t xml:space="preserve">      Construction of Concrete Irrigation Canal</t>
  </si>
  <si>
    <t>G.Antonino,Banutan &amp; Manguyang</t>
  </si>
  <si>
    <t>TOTAL</t>
  </si>
  <si>
    <t>Prepared by:</t>
  </si>
  <si>
    <t xml:space="preserve">                     Certified correct:</t>
  </si>
  <si>
    <t>SHERALEEN C. ABUAN</t>
  </si>
  <si>
    <t>GERMAN D. RODEGERIO</t>
  </si>
  <si>
    <t>Municipal Budget Officer</t>
  </si>
  <si>
    <t xml:space="preserve">  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</si>
</sst>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[$-3409]mmmm\ d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u/>
      <sz val="14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32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0" fontId="5" fillId="0" borderId="0" xfId="2" applyNumberFormat="1" applyFont="1" applyFill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0" fontId="3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0" fontId="9" fillId="0" borderId="8" xfId="2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4" fontId="3" fillId="0" borderId="12" xfId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0" fontId="3" fillId="0" borderId="11" xfId="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left" vertical="center"/>
    </xf>
    <xf numFmtId="0" fontId="10" fillId="0" borderId="15" xfId="3" applyFont="1" applyFill="1" applyBorder="1" applyAlignment="1">
      <alignment horizontal="center" vertical="center" wrapText="1"/>
    </xf>
    <xf numFmtId="164" fontId="10" fillId="0" borderId="15" xfId="1" applyFont="1" applyFill="1" applyBorder="1" applyAlignment="1">
      <alignment horizontal="center" vertical="center"/>
    </xf>
    <xf numFmtId="49" fontId="10" fillId="0" borderId="15" xfId="3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left" vertical="center" wrapText="1"/>
    </xf>
    <xf numFmtId="0" fontId="13" fillId="0" borderId="15" xfId="3" applyFont="1" applyFill="1" applyBorder="1" applyAlignment="1">
      <alignment horizontal="center" vertical="center" wrapText="1"/>
    </xf>
    <xf numFmtId="164" fontId="13" fillId="0" borderId="15" xfId="1" applyFont="1" applyFill="1" applyBorder="1" applyAlignment="1">
      <alignment horizontal="center" vertical="center" wrapText="1"/>
    </xf>
    <xf numFmtId="49" fontId="13" fillId="0" borderId="15" xfId="3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0" fontId="3" fillId="0" borderId="15" xfId="2" applyNumberFormat="1" applyFont="1" applyFill="1" applyBorder="1" applyAlignment="1">
      <alignment horizontal="center" vertical="center"/>
    </xf>
    <xf numFmtId="164" fontId="3" fillId="0" borderId="16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5" xfId="0" quotePrefix="1" applyNumberFormat="1" applyFont="1" applyFill="1" applyBorder="1" applyAlignment="1">
      <alignment horizontal="center" vertical="center"/>
    </xf>
    <xf numFmtId="164" fontId="3" fillId="0" borderId="15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12" fillId="0" borderId="15" xfId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9" fillId="0" borderId="15" xfId="0" quotePrefix="1" applyNumberFormat="1" applyFont="1" applyFill="1" applyBorder="1" applyAlignment="1">
      <alignment horizontal="center" vertical="center"/>
    </xf>
    <xf numFmtId="10" fontId="12" fillId="0" borderId="15" xfId="2" applyNumberFormat="1" applyFont="1" applyFill="1" applyBorder="1" applyAlignment="1">
      <alignment horizontal="center" vertical="center"/>
    </xf>
    <xf numFmtId="164" fontId="12" fillId="0" borderId="15" xfId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3" fillId="0" borderId="11" xfId="1" applyFont="1" applyFill="1" applyBorder="1" applyAlignment="1">
      <alignment horizontal="center" vertical="center"/>
    </xf>
    <xf numFmtId="49" fontId="2" fillId="0" borderId="11" xfId="0" quotePrefix="1" applyNumberFormat="1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164" fontId="13" fillId="0" borderId="15" xfId="1" applyFont="1" applyFill="1" applyBorder="1" applyAlignment="1">
      <alignment horizontal="center" vertical="center"/>
    </xf>
    <xf numFmtId="49" fontId="13" fillId="0" borderId="15" xfId="3" applyNumberFormat="1" applyFont="1" applyFill="1" applyBorder="1" applyAlignment="1">
      <alignment horizontal="center" vertical="center"/>
    </xf>
    <xf numFmtId="164" fontId="10" fillId="0" borderId="13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7" xfId="0" quotePrefix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10" fillId="0" borderId="13" xfId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164" fontId="3" fillId="0" borderId="19" xfId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left" vertical="center"/>
    </xf>
    <xf numFmtId="0" fontId="10" fillId="0" borderId="15" xfId="3" applyFont="1" applyFill="1" applyBorder="1" applyAlignment="1">
      <alignment horizontal="left" vertical="center" wrapText="1"/>
    </xf>
    <xf numFmtId="0" fontId="10" fillId="0" borderId="15" xfId="3" applyFont="1" applyFill="1" applyBorder="1" applyAlignment="1">
      <alignment horizontal="center" vertical="center"/>
    </xf>
    <xf numFmtId="164" fontId="10" fillId="0" borderId="15" xfId="1" applyFont="1" applyFill="1" applyBorder="1" applyAlignment="1">
      <alignment horizontal="center" vertical="center" wrapText="1"/>
    </xf>
    <xf numFmtId="49" fontId="10" fillId="0" borderId="15" xfId="3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164" fontId="12" fillId="0" borderId="16" xfId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5" xfId="3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164" fontId="4" fillId="0" borderId="21" xfId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164" fontId="13" fillId="0" borderId="0" xfId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164" fontId="17" fillId="0" borderId="0" xfId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 wrapText="1"/>
    </xf>
    <xf numFmtId="164" fontId="10" fillId="0" borderId="7" xfId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52916</xdr:colOff>
      <xdr:row>42</xdr:row>
      <xdr:rowOff>95250</xdr:rowOff>
    </xdr:from>
    <xdr:to>
      <xdr:col>7</xdr:col>
      <xdr:colOff>164042</xdr:colOff>
      <xdr:row>46</xdr:row>
      <xdr:rowOff>74083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7941" y="12515850"/>
          <a:ext cx="1111251" cy="740833"/>
        </a:xfrm>
        <a:prstGeom prst="rect">
          <a:avLst/>
        </a:prstGeom>
      </xdr:spPr>
    </xdr:pic>
    <xdr:clientData/>
  </xdr:twoCellAnchor>
  <xdr:twoCellAnchor>
    <xdr:from>
      <xdr:col>0</xdr:col>
      <xdr:colOff>465014</xdr:colOff>
      <xdr:row>42</xdr:row>
      <xdr:rowOff>46341</xdr:rowOff>
    </xdr:from>
    <xdr:to>
      <xdr:col>0</xdr:col>
      <xdr:colOff>1111649</xdr:colOff>
      <xdr:row>46</xdr:row>
      <xdr:rowOff>152015</xdr:rowOff>
    </xdr:to>
    <xdr:pic>
      <xdr:nvPicPr>
        <xdr:cNvPr id="3" name="Picture 2" descr="signature ate Sh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74" t="29012" r="43642" b="40178"/>
        <a:stretch>
          <a:fillRect/>
        </a:stretch>
      </xdr:blipFill>
      <xdr:spPr bwMode="auto">
        <a:xfrm rot="1203699">
          <a:off x="465014" y="12466941"/>
          <a:ext cx="646635" cy="8676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BBY/20%25%20DEV.%20FUND/20%25%20UTILIzAT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2"/>
      <sheetName val="2014"/>
      <sheetName val="2015"/>
      <sheetName val="2016"/>
      <sheetName val="2017 (2)"/>
      <sheetName val="2017"/>
      <sheetName val="2018"/>
      <sheetName val="2018 TRANSACTION"/>
      <sheetName val="DILG-1st qtr"/>
      <sheetName val="DRAFT"/>
    </sheetNames>
    <sheetDataSet>
      <sheetData sheetId="0" refreshError="1"/>
      <sheetData sheetId="1" refreshError="1"/>
      <sheetData sheetId="2" refreshError="1">
        <row r="5">
          <cell r="E5">
            <v>179000</v>
          </cell>
        </row>
      </sheetData>
      <sheetData sheetId="3" refreshError="1">
        <row r="4">
          <cell r="D4">
            <v>322000</v>
          </cell>
          <cell r="E4">
            <v>169864.15</v>
          </cell>
        </row>
      </sheetData>
      <sheetData sheetId="4" refreshError="1">
        <row r="7">
          <cell r="H7">
            <v>708026.62</v>
          </cell>
        </row>
      </sheetData>
      <sheetData sheetId="5" refreshError="1"/>
      <sheetData sheetId="6" refreshError="1">
        <row r="7">
          <cell r="D7">
            <v>33250</v>
          </cell>
          <cell r="E7">
            <v>1300000</v>
          </cell>
          <cell r="G7">
            <v>1005079.2</v>
          </cell>
          <cell r="I7">
            <v>33891</v>
          </cell>
          <cell r="L7">
            <v>2000000</v>
          </cell>
          <cell r="M7">
            <v>260467.28</v>
          </cell>
          <cell r="Z7">
            <v>384682.34</v>
          </cell>
        </row>
      </sheetData>
      <sheetData sheetId="7" refreshError="1"/>
      <sheetData sheetId="8" refreshError="1">
        <row r="6">
          <cell r="S6">
            <v>31472.5</v>
          </cell>
        </row>
        <row r="12">
          <cell r="S12">
            <v>812770</v>
          </cell>
        </row>
        <row r="20">
          <cell r="S20">
            <v>673747</v>
          </cell>
        </row>
        <row r="23">
          <cell r="S23">
            <v>5775</v>
          </cell>
        </row>
        <row r="30">
          <cell r="S30">
            <v>339283</v>
          </cell>
        </row>
        <row r="34">
          <cell r="S34">
            <v>154544.56</v>
          </cell>
        </row>
        <row r="36">
          <cell r="S36">
            <v>708026.62</v>
          </cell>
        </row>
        <row r="40">
          <cell r="S40">
            <v>321973.38</v>
          </cell>
        </row>
        <row r="43">
          <cell r="S43">
            <v>178360.1</v>
          </cell>
        </row>
        <row r="47">
          <cell r="S47">
            <v>21825</v>
          </cell>
        </row>
        <row r="49">
          <cell r="S49">
            <v>220000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5"/>
  <sheetViews>
    <sheetView tabSelected="1" workbookViewId="0">
      <selection activeCell="C4" sqref="C4"/>
    </sheetView>
  </sheetViews>
  <sheetFormatPr defaultColWidth="15.109375" defaultRowHeight="15" x14ac:dyDescent="0.3"/>
  <cols>
    <col min="1" max="1" width="59.44140625" style="15" customWidth="1"/>
    <col min="2" max="2" width="22.109375" style="6" customWidth="1"/>
    <col min="3" max="3" width="21.109375" style="12" customWidth="1"/>
    <col min="4" max="5" width="14.6640625" style="13" customWidth="1"/>
    <col min="6" max="6" width="13.6640625" style="14" customWidth="1"/>
    <col min="7" max="7" width="21" style="6" customWidth="1"/>
    <col min="8" max="8" width="13.6640625" style="6" customWidth="1"/>
    <col min="9" max="9" width="13.88671875" style="6" customWidth="1"/>
    <col min="10" max="10" width="2.5546875" style="6" customWidth="1"/>
    <col min="11" max="11" width="7.88671875" style="6" customWidth="1"/>
    <col min="12" max="12" width="37.109375" style="6" customWidth="1"/>
    <col min="13" max="15" width="15.5546875" style="12" customWidth="1"/>
    <col min="16" max="28" width="7.5546875" style="6" customWidth="1"/>
    <col min="29" max="16384" width="15.109375" style="6"/>
  </cols>
  <sheetData>
    <row r="1" spans="1:28" x14ac:dyDescent="0.3">
      <c r="A1" s="1" t="s">
        <v>0</v>
      </c>
      <c r="B1" s="2"/>
      <c r="C1" s="3"/>
      <c r="D1" s="4"/>
      <c r="E1" s="4"/>
      <c r="F1" s="5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7.399999999999999" x14ac:dyDescent="0.3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2"/>
      <c r="K2" s="2"/>
      <c r="L2" s="2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7.399999999999999" x14ac:dyDescent="0.3">
      <c r="A3" s="118" t="s">
        <v>2</v>
      </c>
      <c r="B3" s="119"/>
      <c r="C3" s="119"/>
      <c r="D3" s="119"/>
      <c r="E3" s="119"/>
      <c r="F3" s="119"/>
      <c r="G3" s="119"/>
      <c r="H3" s="119"/>
      <c r="I3" s="119"/>
      <c r="J3" s="2"/>
      <c r="K3" s="2"/>
      <c r="L3" s="2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7.399999999999999" x14ac:dyDescent="0.3">
      <c r="A4" s="7"/>
      <c r="B4" s="8"/>
      <c r="C4" s="9"/>
      <c r="D4" s="10"/>
      <c r="E4" s="10"/>
      <c r="F4" s="11"/>
      <c r="G4" s="8"/>
      <c r="H4" s="8"/>
      <c r="I4" s="8"/>
      <c r="J4" s="2"/>
      <c r="K4" s="2"/>
      <c r="L4" s="2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6" x14ac:dyDescent="0.3">
      <c r="A5" s="1" t="s">
        <v>3</v>
      </c>
      <c r="J5" s="2"/>
      <c r="K5" s="2"/>
      <c r="L5" s="2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3">
      <c r="J6" s="2"/>
      <c r="K6" s="2"/>
      <c r="L6" s="2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6" x14ac:dyDescent="0.3">
      <c r="A7" s="120" t="s">
        <v>4</v>
      </c>
      <c r="B7" s="122" t="s">
        <v>5</v>
      </c>
      <c r="C7" s="124" t="s">
        <v>6</v>
      </c>
      <c r="D7" s="126" t="s">
        <v>7</v>
      </c>
      <c r="E7" s="126" t="s">
        <v>8</v>
      </c>
      <c r="F7" s="128" t="s">
        <v>9</v>
      </c>
      <c r="G7" s="129"/>
      <c r="H7" s="122" t="s">
        <v>10</v>
      </c>
      <c r="I7" s="130" t="s">
        <v>11</v>
      </c>
      <c r="J7" s="2"/>
      <c r="K7" s="2"/>
      <c r="L7" s="2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31.2" x14ac:dyDescent="0.3">
      <c r="A8" s="121"/>
      <c r="B8" s="123"/>
      <c r="C8" s="125"/>
      <c r="D8" s="127"/>
      <c r="E8" s="127"/>
      <c r="F8" s="16" t="s">
        <v>12</v>
      </c>
      <c r="G8" s="17" t="s">
        <v>13</v>
      </c>
      <c r="H8" s="123"/>
      <c r="I8" s="131"/>
      <c r="J8" s="2"/>
      <c r="K8" s="2"/>
      <c r="L8" s="2"/>
      <c r="M8" s="3"/>
      <c r="N8" s="3"/>
      <c r="O8" s="3">
        <v>49200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6" x14ac:dyDescent="0.3">
      <c r="A9" s="18" t="s">
        <v>14</v>
      </c>
      <c r="B9" s="19"/>
      <c r="C9" s="20"/>
      <c r="D9" s="21"/>
      <c r="E9" s="22"/>
      <c r="F9" s="23"/>
      <c r="G9" s="24"/>
      <c r="H9" s="19"/>
      <c r="I9" s="19"/>
      <c r="J9" s="2"/>
      <c r="K9" s="2"/>
      <c r="L9" s="2"/>
      <c r="M9" s="3"/>
      <c r="N9" s="3"/>
      <c r="O9" s="3">
        <v>26965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1" customFormat="1" x14ac:dyDescent="0.3">
      <c r="A10" s="25"/>
      <c r="B10" s="26"/>
      <c r="C10" s="27"/>
      <c r="D10" s="28"/>
      <c r="E10" s="28"/>
      <c r="F10" s="28"/>
      <c r="G10" s="28"/>
      <c r="H10" s="28"/>
      <c r="I10" s="28"/>
      <c r="J10" s="29"/>
      <c r="K10" s="29"/>
      <c r="L10" s="29"/>
      <c r="M10" s="30"/>
      <c r="O10" s="30">
        <v>126290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38" customFormat="1" ht="15.6" x14ac:dyDescent="0.3">
      <c r="A11" s="32" t="s">
        <v>15</v>
      </c>
      <c r="B11" s="33"/>
      <c r="C11" s="34"/>
      <c r="D11" s="35"/>
      <c r="E11" s="35"/>
      <c r="F11" s="35"/>
      <c r="G11" s="35"/>
      <c r="H11" s="35"/>
      <c r="I11" s="35"/>
      <c r="J11" s="36"/>
      <c r="K11" s="36"/>
      <c r="L11" s="36"/>
      <c r="M11" s="37"/>
      <c r="N11" s="37"/>
      <c r="O11" s="37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s="31" customFormat="1" x14ac:dyDescent="0.3">
      <c r="A12" s="39" t="s">
        <v>16</v>
      </c>
      <c r="B12" s="40" t="s">
        <v>17</v>
      </c>
      <c r="C12" s="41">
        <f>'[1]2017'!Z7</f>
        <v>384682.34</v>
      </c>
      <c r="D12" s="42" t="s">
        <v>18</v>
      </c>
      <c r="E12" s="43" t="s">
        <v>19</v>
      </c>
      <c r="F12" s="44">
        <f>G12/C12</f>
        <v>0.99974176095528577</v>
      </c>
      <c r="G12" s="45">
        <f>'[1]2018 TRANSACTION'!S30+34800+10500</f>
        <v>384583</v>
      </c>
      <c r="H12" s="46"/>
      <c r="I12" s="46"/>
      <c r="J12" s="29"/>
      <c r="K12" s="29"/>
      <c r="L12" s="29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31" customFormat="1" ht="30" x14ac:dyDescent="0.3">
      <c r="A13" s="39" t="s">
        <v>20</v>
      </c>
      <c r="B13" s="40" t="s">
        <v>17</v>
      </c>
      <c r="C13" s="41">
        <f>'[1]2017'!D7</f>
        <v>33250</v>
      </c>
      <c r="D13" s="42" t="s">
        <v>21</v>
      </c>
      <c r="E13" s="47" t="s">
        <v>19</v>
      </c>
      <c r="F13" s="44">
        <f>G13/C13</f>
        <v>1.0427819548872181</v>
      </c>
      <c r="G13" s="48">
        <f>'[1]2018 TRANSACTION'!S6+3200</f>
        <v>34672.5</v>
      </c>
      <c r="H13" s="49"/>
      <c r="I13" s="49"/>
      <c r="J13" s="29"/>
      <c r="K13" s="29"/>
      <c r="L13" s="50">
        <f>C13-G13</f>
        <v>-1422.5</v>
      </c>
      <c r="M13" s="30">
        <v>697470.99</v>
      </c>
      <c r="N13" s="30">
        <v>217140</v>
      </c>
      <c r="O13" s="30">
        <v>50650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1" customFormat="1" ht="30" x14ac:dyDescent="0.3">
      <c r="A14" s="51" t="s">
        <v>22</v>
      </c>
      <c r="B14" s="52" t="s">
        <v>23</v>
      </c>
      <c r="C14" s="53">
        <f>'[1]2017'!E7</f>
        <v>1300000</v>
      </c>
      <c r="D14" s="54" t="s">
        <v>24</v>
      </c>
      <c r="E14" s="47" t="s">
        <v>19</v>
      </c>
      <c r="F14" s="44">
        <f t="shared" ref="F14:F20" si="0">G14/C14</f>
        <v>0.70578076923076927</v>
      </c>
      <c r="G14" s="48">
        <f>'[1]2018 TRANSACTION'!S12+104745</f>
        <v>917515</v>
      </c>
      <c r="H14" s="49"/>
      <c r="I14" s="49"/>
      <c r="J14" s="29"/>
      <c r="K14" s="29"/>
      <c r="L14" s="29"/>
      <c r="M14" s="30"/>
      <c r="N14" s="30"/>
      <c r="O14" s="30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1" customFormat="1" ht="30" x14ac:dyDescent="0.3">
      <c r="A15" s="51" t="s">
        <v>25</v>
      </c>
      <c r="B15" s="55" t="s">
        <v>26</v>
      </c>
      <c r="C15" s="48">
        <f>'[1]2015'!D4</f>
        <v>322000</v>
      </c>
      <c r="D15" s="47" t="s">
        <v>27</v>
      </c>
      <c r="E15" s="47" t="s">
        <v>19</v>
      </c>
      <c r="F15" s="44">
        <f>G15/C15</f>
        <v>0.68322981366459623</v>
      </c>
      <c r="G15" s="48">
        <f>'[1]2018 TRANSACTION'!S49</f>
        <v>220000</v>
      </c>
      <c r="H15" s="49"/>
      <c r="I15" s="49"/>
      <c r="J15" s="29"/>
      <c r="K15" s="29"/>
      <c r="L15" s="29"/>
      <c r="M15" s="30"/>
      <c r="N15" s="30"/>
      <c r="O15" s="30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8" customFormat="1" ht="15.6" x14ac:dyDescent="0.3">
      <c r="A16" s="56" t="s">
        <v>28</v>
      </c>
      <c r="B16" s="57"/>
      <c r="C16" s="58"/>
      <c r="D16" s="59"/>
      <c r="E16" s="60"/>
      <c r="F16" s="61"/>
      <c r="G16" s="62"/>
      <c r="H16" s="63"/>
      <c r="I16" s="63"/>
      <c r="J16" s="36"/>
      <c r="K16" s="36"/>
      <c r="L16" s="36"/>
      <c r="M16" s="37"/>
      <c r="N16" s="37"/>
      <c r="O16" s="37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9" s="31" customFormat="1" ht="28.5" customHeight="1" x14ac:dyDescent="0.3">
      <c r="A17" s="64" t="s">
        <v>29</v>
      </c>
      <c r="B17" s="65" t="s">
        <v>17</v>
      </c>
      <c r="C17" s="53">
        <f>'[1]2015'!E4</f>
        <v>169864.15</v>
      </c>
      <c r="D17" s="54" t="s">
        <v>30</v>
      </c>
      <c r="E17" s="47" t="s">
        <v>19</v>
      </c>
      <c r="F17" s="44">
        <f t="shared" si="0"/>
        <v>0.12848502759410976</v>
      </c>
      <c r="G17" s="48">
        <f>'[1]2018 TRANSACTION'!S47</f>
        <v>21825</v>
      </c>
      <c r="H17" s="49"/>
      <c r="I17" s="49"/>
      <c r="J17" s="29"/>
      <c r="K17" s="29"/>
      <c r="L17" s="29"/>
      <c r="M17" s="30"/>
      <c r="N17" s="30"/>
      <c r="O17" s="3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9" s="31" customFormat="1" ht="21" customHeight="1" x14ac:dyDescent="0.3">
      <c r="A18" s="66" t="s">
        <v>31</v>
      </c>
      <c r="B18" s="67"/>
      <c r="C18" s="68"/>
      <c r="D18" s="69"/>
      <c r="E18" s="47"/>
      <c r="F18" s="44"/>
      <c r="G18" s="48"/>
      <c r="H18" s="49"/>
      <c r="I18" s="49"/>
      <c r="J18" s="29"/>
      <c r="K18" s="29"/>
      <c r="L18" s="29"/>
      <c r="M18" s="30"/>
      <c r="N18" s="30"/>
      <c r="O18" s="30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9" s="31" customFormat="1" ht="26.25" customHeight="1" x14ac:dyDescent="0.3">
      <c r="A19" s="39" t="s">
        <v>32</v>
      </c>
      <c r="B19" s="70" t="s">
        <v>17</v>
      </c>
      <c r="C19" s="71">
        <f>'[1]2017'!G7</f>
        <v>1005079.2</v>
      </c>
      <c r="D19" s="72" t="s">
        <v>33</v>
      </c>
      <c r="E19" s="47" t="s">
        <v>19</v>
      </c>
      <c r="F19" s="44">
        <f t="shared" si="0"/>
        <v>0.75633044639666214</v>
      </c>
      <c r="G19" s="48">
        <f>'[1]2018 TRANSACTION'!S20+64990+21435</f>
        <v>760172</v>
      </c>
      <c r="H19" s="49"/>
      <c r="I19" s="49"/>
      <c r="J19" s="29"/>
      <c r="K19" s="29"/>
      <c r="L19" s="29"/>
      <c r="M19" s="30"/>
      <c r="N19" s="30"/>
      <c r="O19" s="30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9" s="31" customFormat="1" ht="15.75" customHeight="1" x14ac:dyDescent="0.3">
      <c r="A20" s="39" t="s">
        <v>34</v>
      </c>
      <c r="B20" s="70" t="s">
        <v>17</v>
      </c>
      <c r="C20" s="71">
        <f>'[1]2017'!I7</f>
        <v>33891</v>
      </c>
      <c r="D20" s="72" t="s">
        <v>35</v>
      </c>
      <c r="E20" s="47" t="s">
        <v>36</v>
      </c>
      <c r="F20" s="44">
        <f t="shared" si="0"/>
        <v>0.17039922103213243</v>
      </c>
      <c r="G20" s="48">
        <f>'[1]2018 TRANSACTION'!S23</f>
        <v>5775</v>
      </c>
      <c r="H20" s="49"/>
      <c r="I20" s="49"/>
      <c r="J20" s="29"/>
      <c r="K20" s="29"/>
      <c r="L20" s="29"/>
      <c r="M20" s="30"/>
      <c r="N20" s="30"/>
      <c r="O20" s="3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9" s="31" customFormat="1" ht="20.25" customHeight="1" x14ac:dyDescent="0.3">
      <c r="A21" s="73" t="s">
        <v>37</v>
      </c>
      <c r="B21" s="74"/>
      <c r="C21" s="48"/>
      <c r="D21" s="75"/>
      <c r="E21" s="76"/>
      <c r="F21" s="44"/>
      <c r="G21" s="48"/>
      <c r="H21" s="77"/>
      <c r="I21" s="77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ht="14.25" customHeight="1" x14ac:dyDescent="0.3">
      <c r="A22" s="80" t="s">
        <v>38</v>
      </c>
      <c r="B22" s="77"/>
      <c r="C22" s="81"/>
      <c r="D22" s="76"/>
      <c r="E22" s="82"/>
      <c r="F22" s="44"/>
      <c r="G22" s="83"/>
      <c r="H22" s="77"/>
      <c r="I22" s="77"/>
      <c r="J22" s="2"/>
      <c r="K22" s="2"/>
      <c r="L22" s="2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9" ht="30" x14ac:dyDescent="0.3">
      <c r="A23" s="39" t="s">
        <v>39</v>
      </c>
      <c r="B23" s="70" t="s">
        <v>40</v>
      </c>
      <c r="C23" s="41">
        <f>'[1]2017'!L7</f>
        <v>2000000</v>
      </c>
      <c r="D23" s="42" t="s">
        <v>41</v>
      </c>
      <c r="E23" s="84" t="s">
        <v>19</v>
      </c>
      <c r="F23" s="44">
        <f>G23/C23</f>
        <v>0.197900085</v>
      </c>
      <c r="G23" s="48">
        <f>'[1]2018 TRANSACTION'!S40+73826.79</f>
        <v>395800.17</v>
      </c>
      <c r="H23" s="77"/>
      <c r="I23" s="77"/>
      <c r="J23" s="2"/>
      <c r="K23" s="2"/>
      <c r="L23" s="2"/>
      <c r="M23" s="3"/>
      <c r="N23" s="3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9" s="31" customFormat="1" ht="18" customHeight="1" x14ac:dyDescent="0.3">
      <c r="A24" s="85" t="s">
        <v>42</v>
      </c>
      <c r="B24" s="70" t="s">
        <v>40</v>
      </c>
      <c r="C24" s="71">
        <f>'[1]2016'!H7</f>
        <v>708026.62</v>
      </c>
      <c r="D24" s="72" t="s">
        <v>43</v>
      </c>
      <c r="E24" s="43" t="s">
        <v>19</v>
      </c>
      <c r="F24" s="44">
        <f>G24/C24</f>
        <v>1</v>
      </c>
      <c r="G24" s="45">
        <f>'[1]2018 TRANSACTION'!S36</f>
        <v>708026.62</v>
      </c>
      <c r="H24" s="46"/>
      <c r="I24" s="46"/>
      <c r="J24" s="29"/>
      <c r="K24" s="29"/>
      <c r="L24" s="29"/>
      <c r="M24" s="30"/>
      <c r="N24" s="30"/>
      <c r="O24" s="30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9" s="95" customFormat="1" ht="15.6" x14ac:dyDescent="0.3">
      <c r="A25" s="86" t="s">
        <v>44</v>
      </c>
      <c r="B25" s="87"/>
      <c r="C25" s="88"/>
      <c r="D25" s="89"/>
      <c r="E25" s="90"/>
      <c r="F25" s="61"/>
      <c r="G25" s="91"/>
      <c r="H25" s="92"/>
      <c r="I25" s="92"/>
      <c r="J25" s="93"/>
      <c r="K25" s="93"/>
      <c r="L25" s="93"/>
      <c r="M25" s="94"/>
      <c r="N25" s="94"/>
      <c r="O25" s="94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29" s="95" customFormat="1" ht="25.5" customHeight="1" x14ac:dyDescent="0.3">
      <c r="A26" s="39" t="s">
        <v>45</v>
      </c>
      <c r="B26" s="70" t="s">
        <v>46</v>
      </c>
      <c r="C26" s="41">
        <f>1218158.08</f>
        <v>1218158.0800000001</v>
      </c>
      <c r="D26" s="42" t="s">
        <v>47</v>
      </c>
      <c r="E26" s="43" t="s">
        <v>48</v>
      </c>
      <c r="F26" s="44">
        <f>G26/C26</f>
        <v>0.88392292238458892</v>
      </c>
      <c r="G26" s="45">
        <f>780969.19+295788.66</f>
        <v>1076757.8499999999</v>
      </c>
      <c r="H26" s="92"/>
      <c r="I26" s="92"/>
      <c r="J26" s="93"/>
      <c r="K26" s="93"/>
      <c r="L26" s="93"/>
      <c r="M26" s="94"/>
      <c r="N26" s="94"/>
      <c r="O26" s="94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29" s="95" customFormat="1" ht="15.6" x14ac:dyDescent="0.3">
      <c r="A27" s="86"/>
      <c r="B27" s="87"/>
      <c r="C27" s="88"/>
      <c r="D27" s="89"/>
      <c r="E27" s="90"/>
      <c r="F27" s="61"/>
      <c r="G27" s="91"/>
      <c r="H27" s="92"/>
      <c r="I27" s="92"/>
      <c r="J27" s="93"/>
      <c r="K27" s="93"/>
      <c r="L27" s="93"/>
      <c r="M27" s="94"/>
      <c r="N27" s="94"/>
      <c r="O27" s="94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9" ht="30" customHeight="1" x14ac:dyDescent="0.3">
      <c r="A28" s="39" t="s">
        <v>49</v>
      </c>
      <c r="B28" s="70" t="s">
        <v>50</v>
      </c>
      <c r="C28" s="41">
        <v>42849.22</v>
      </c>
      <c r="D28" s="42" t="s">
        <v>51</v>
      </c>
      <c r="E28" s="43" t="s">
        <v>52</v>
      </c>
      <c r="F28" s="44">
        <f>G28/C28</f>
        <v>0.72384048064352158</v>
      </c>
      <c r="G28" s="45">
        <f>31016</f>
        <v>31016</v>
      </c>
      <c r="H28" s="46"/>
      <c r="I28" s="46"/>
      <c r="J28" s="2"/>
      <c r="K28" s="2"/>
      <c r="L28" s="2"/>
      <c r="M28" s="3"/>
      <c r="N28" s="3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s="31" customFormat="1" ht="27" customHeight="1" x14ac:dyDescent="0.3">
      <c r="A29" s="39" t="s">
        <v>53</v>
      </c>
      <c r="B29" s="40" t="s">
        <v>26</v>
      </c>
      <c r="C29" s="41">
        <f>'[1]2017'!M7</f>
        <v>260467.28</v>
      </c>
      <c r="D29" s="42" t="s">
        <v>54</v>
      </c>
      <c r="E29" s="43" t="s">
        <v>55</v>
      </c>
      <c r="F29" s="44">
        <f>G29/C29</f>
        <v>0.7430666915245554</v>
      </c>
      <c r="G29" s="45">
        <f>'[1]2018 TRANSACTION'!S34+39000</f>
        <v>193544.56</v>
      </c>
      <c r="H29" s="46"/>
      <c r="I29" s="46"/>
      <c r="J29" s="29"/>
      <c r="K29" s="29"/>
      <c r="L29" s="29"/>
      <c r="M29" s="30"/>
      <c r="N29" s="30"/>
      <c r="O29" s="30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9" s="31" customFormat="1" ht="35.25" customHeight="1" x14ac:dyDescent="0.3">
      <c r="A30" s="39" t="s">
        <v>56</v>
      </c>
      <c r="B30" s="40" t="s">
        <v>57</v>
      </c>
      <c r="C30" s="41">
        <f>2700000+1200000</f>
        <v>3900000</v>
      </c>
      <c r="D30" s="42" t="s">
        <v>58</v>
      </c>
      <c r="E30" s="43" t="s">
        <v>59</v>
      </c>
      <c r="F30" s="44">
        <f>G30/C30</f>
        <v>0.67358602564102565</v>
      </c>
      <c r="G30" s="45">
        <f>202800+2312873.5+68512+42800</f>
        <v>2626985.5</v>
      </c>
      <c r="H30" s="46"/>
      <c r="I30" s="46"/>
      <c r="J30" s="29"/>
      <c r="K30" s="29"/>
      <c r="L30" s="29"/>
      <c r="M30" s="30"/>
      <c r="N30" s="30"/>
      <c r="O30" s="3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9" s="31" customFormat="1" ht="35.25" customHeight="1" x14ac:dyDescent="0.3">
      <c r="A31" s="39" t="s">
        <v>60</v>
      </c>
      <c r="B31" s="40" t="s">
        <v>61</v>
      </c>
      <c r="C31" s="41">
        <v>500000</v>
      </c>
      <c r="D31" s="42" t="s">
        <v>62</v>
      </c>
      <c r="E31" s="43" t="s">
        <v>59</v>
      </c>
      <c r="F31" s="44">
        <f>G31/C31</f>
        <v>0.70739799999999997</v>
      </c>
      <c r="G31" s="45">
        <f>224799+40300+88600</f>
        <v>353699</v>
      </c>
      <c r="H31" s="46"/>
      <c r="I31" s="46"/>
      <c r="J31" s="29"/>
      <c r="K31" s="29"/>
      <c r="L31" s="29"/>
      <c r="M31" s="30"/>
      <c r="N31" s="30"/>
      <c r="O31" s="30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9" s="31" customFormat="1" ht="35.25" customHeight="1" x14ac:dyDescent="0.3">
      <c r="A32" s="39" t="s">
        <v>63</v>
      </c>
      <c r="B32" s="40" t="s">
        <v>61</v>
      </c>
      <c r="C32" s="41">
        <f>30000</f>
        <v>30000</v>
      </c>
      <c r="D32" s="42" t="s">
        <v>62</v>
      </c>
      <c r="E32" s="43" t="s">
        <v>59</v>
      </c>
      <c r="F32" s="44">
        <f>G32/C32</f>
        <v>9.8698053333333338</v>
      </c>
      <c r="G32" s="45">
        <f>194794.16+51000+50300</f>
        <v>296094.16000000003</v>
      </c>
      <c r="H32" s="46"/>
      <c r="I32" s="46"/>
      <c r="J32" s="29"/>
      <c r="K32" s="29"/>
      <c r="L32" s="29"/>
      <c r="M32" s="30"/>
      <c r="N32" s="30"/>
      <c r="O32" s="3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1" customFormat="1" ht="30" x14ac:dyDescent="0.3">
      <c r="A33" s="39" t="s">
        <v>64</v>
      </c>
      <c r="B33" s="40" t="s">
        <v>65</v>
      </c>
      <c r="C33" s="41">
        <f>700000</f>
        <v>700000</v>
      </c>
      <c r="D33" s="42" t="s">
        <v>66</v>
      </c>
      <c r="E33" s="43" t="s">
        <v>67</v>
      </c>
      <c r="F33" s="44">
        <f t="shared" ref="F33:F37" si="1">G33/C33</f>
        <v>0.72864285714285715</v>
      </c>
      <c r="G33" s="45">
        <f>510050</f>
        <v>510050</v>
      </c>
      <c r="H33" s="46"/>
      <c r="I33" s="46"/>
      <c r="J33" s="29"/>
      <c r="K33" s="29"/>
      <c r="L33" s="29"/>
      <c r="M33" s="30"/>
      <c r="N33" s="30"/>
      <c r="O33" s="3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31" customFormat="1" x14ac:dyDescent="0.3">
      <c r="A34" s="39" t="s">
        <v>68</v>
      </c>
      <c r="B34" s="40" t="s">
        <v>69</v>
      </c>
      <c r="C34" s="41">
        <f>66614.9</f>
        <v>66614.899999999994</v>
      </c>
      <c r="D34" s="42" t="s">
        <v>70</v>
      </c>
      <c r="E34" s="43" t="s">
        <v>48</v>
      </c>
      <c r="F34" s="44">
        <f t="shared" si="1"/>
        <v>0.78008073268893308</v>
      </c>
      <c r="G34" s="45">
        <f>35165+16800</f>
        <v>51965</v>
      </c>
      <c r="H34" s="46"/>
      <c r="I34" s="46"/>
      <c r="J34" s="29"/>
      <c r="K34" s="29"/>
      <c r="L34" s="29"/>
      <c r="M34" s="30"/>
      <c r="N34" s="30"/>
      <c r="O34" s="30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38" customFormat="1" ht="15.6" x14ac:dyDescent="0.3">
      <c r="A35" s="86" t="s">
        <v>71</v>
      </c>
      <c r="B35" s="33"/>
      <c r="C35" s="88"/>
      <c r="D35" s="89"/>
      <c r="E35" s="90"/>
      <c r="F35" s="61"/>
      <c r="G35" s="91"/>
      <c r="H35" s="92"/>
      <c r="I35" s="92"/>
      <c r="J35" s="36"/>
      <c r="K35" s="36"/>
      <c r="L35" s="36"/>
      <c r="M35" s="37"/>
      <c r="N35" s="37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s="38" customFormat="1" ht="15.6" x14ac:dyDescent="0.3">
      <c r="A36" s="39" t="s">
        <v>72</v>
      </c>
      <c r="B36" s="40" t="s">
        <v>73</v>
      </c>
      <c r="C36" s="41">
        <f>75000</f>
        <v>75000</v>
      </c>
      <c r="D36" s="42" t="s">
        <v>70</v>
      </c>
      <c r="E36" s="43" t="s">
        <v>48</v>
      </c>
      <c r="F36" s="44">
        <f t="shared" si="1"/>
        <v>0.78439999999999999</v>
      </c>
      <c r="G36" s="45">
        <f>57580+1250</f>
        <v>58830</v>
      </c>
      <c r="H36" s="92"/>
      <c r="I36" s="92"/>
      <c r="J36" s="36"/>
      <c r="K36" s="36"/>
      <c r="L36" s="36"/>
      <c r="M36" s="37"/>
      <c r="N36" s="37"/>
      <c r="O36" s="37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s="31" customFormat="1" x14ac:dyDescent="0.3">
      <c r="A37" s="39" t="s">
        <v>74</v>
      </c>
      <c r="B37" s="40" t="s">
        <v>75</v>
      </c>
      <c r="C37" s="41">
        <f>117392.04</f>
        <v>117392.04</v>
      </c>
      <c r="D37" s="42" t="s">
        <v>76</v>
      </c>
      <c r="E37" s="43" t="s">
        <v>48</v>
      </c>
      <c r="F37" s="44">
        <f t="shared" si="1"/>
        <v>0.99802337534981078</v>
      </c>
      <c r="G37" s="45">
        <f>117160</f>
        <v>117160</v>
      </c>
      <c r="H37" s="46"/>
      <c r="I37" s="46"/>
      <c r="J37" s="29"/>
      <c r="K37" s="29"/>
      <c r="L37" s="29"/>
      <c r="M37" s="30"/>
      <c r="N37" s="30"/>
      <c r="O37" s="30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31" customFormat="1" ht="26.4" x14ac:dyDescent="0.3">
      <c r="A38" s="85" t="s">
        <v>77</v>
      </c>
      <c r="B38" s="96" t="s">
        <v>78</v>
      </c>
      <c r="C38" s="71">
        <f>'[1]2014'!E5</f>
        <v>179000</v>
      </c>
      <c r="D38" s="72" t="s">
        <v>41</v>
      </c>
      <c r="E38" s="43" t="s">
        <v>19</v>
      </c>
      <c r="F38" s="44">
        <f>G38/C38</f>
        <v>0.9964251396648045</v>
      </c>
      <c r="G38" s="45">
        <f>'[1]2018 TRANSACTION'!S43</f>
        <v>178360.1</v>
      </c>
      <c r="H38" s="46"/>
      <c r="I38" s="46"/>
      <c r="J38" s="29"/>
      <c r="K38" s="29"/>
      <c r="L38" s="29"/>
      <c r="M38" s="30"/>
      <c r="N38" s="30"/>
      <c r="O38" s="30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8" customFormat="1" ht="18" thickBot="1" x14ac:dyDescent="0.35">
      <c r="A39" s="97" t="s">
        <v>79</v>
      </c>
      <c r="B39" s="98"/>
      <c r="C39" s="99">
        <f>SUM(C12:C38)</f>
        <v>13046274.83</v>
      </c>
      <c r="D39" s="100"/>
      <c r="E39" s="101"/>
      <c r="F39" s="101"/>
      <c r="G39" s="102">
        <f>SUM(G12:G38)</f>
        <v>8942831.459999999</v>
      </c>
      <c r="H39" s="103"/>
      <c r="I39" s="104"/>
      <c r="J39" s="105"/>
      <c r="K39" s="105"/>
      <c r="L39" s="105"/>
      <c r="M39" s="106">
        <v>840000</v>
      </c>
      <c r="N39" s="106"/>
      <c r="O39" s="106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6.2" thickTop="1" x14ac:dyDescent="0.3">
      <c r="A40" s="107"/>
      <c r="B40" s="31"/>
      <c r="C40" s="27"/>
      <c r="D40" s="108"/>
      <c r="E40" s="108"/>
      <c r="F40" s="109"/>
      <c r="G40" s="31"/>
      <c r="H40" s="31"/>
      <c r="I40" s="31"/>
      <c r="J40" s="2"/>
      <c r="K40" s="2"/>
      <c r="L40" s="2"/>
      <c r="M40" s="3">
        <v>194941</v>
      </c>
      <c r="N40" s="3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3">
      <c r="A41" s="15" t="s">
        <v>80</v>
      </c>
      <c r="C41" s="110"/>
      <c r="D41" s="111"/>
      <c r="F41" s="14" t="s">
        <v>81</v>
      </c>
      <c r="M41" s="12">
        <f>+M39-M40</f>
        <v>645059</v>
      </c>
    </row>
    <row r="42" spans="1:28" x14ac:dyDescent="0.3">
      <c r="C42" s="110"/>
      <c r="D42" s="111"/>
    </row>
    <row r="43" spans="1:28" x14ac:dyDescent="0.3">
      <c r="C43" s="110"/>
      <c r="D43" s="111"/>
    </row>
    <row r="44" spans="1:28" x14ac:dyDescent="0.3">
      <c r="C44" s="110"/>
      <c r="D44" s="111"/>
      <c r="M44" s="12">
        <v>1120000</v>
      </c>
    </row>
    <row r="45" spans="1:28" x14ac:dyDescent="0.3">
      <c r="C45" s="110"/>
      <c r="D45" s="111"/>
      <c r="M45" s="12" t="e">
        <f>+M44-#REF!</f>
        <v>#REF!</v>
      </c>
    </row>
    <row r="46" spans="1:28" x14ac:dyDescent="0.3">
      <c r="C46" s="110"/>
      <c r="D46" s="111"/>
    </row>
    <row r="47" spans="1:28" ht="15.6" x14ac:dyDescent="0.3">
      <c r="A47" s="112"/>
      <c r="C47" s="113"/>
      <c r="D47" s="111"/>
    </row>
    <row r="48" spans="1:28" ht="15.6" x14ac:dyDescent="0.3">
      <c r="A48" s="107" t="s">
        <v>82</v>
      </c>
      <c r="B48" s="31"/>
      <c r="C48" s="79"/>
      <c r="D48" s="114"/>
      <c r="G48" s="36" t="s">
        <v>83</v>
      </c>
      <c r="H48" s="31"/>
    </row>
    <row r="49" spans="1:8" x14ac:dyDescent="0.3">
      <c r="A49" s="115" t="s">
        <v>84</v>
      </c>
      <c r="B49" s="116"/>
      <c r="C49" s="117"/>
      <c r="D49" s="117"/>
      <c r="G49" s="115" t="s">
        <v>85</v>
      </c>
      <c r="H49" s="116"/>
    </row>
    <row r="50" spans="1:8" x14ac:dyDescent="0.3">
      <c r="C50" s="110"/>
      <c r="D50" s="111"/>
    </row>
    <row r="51" spans="1:8" x14ac:dyDescent="0.3">
      <c r="C51" s="110"/>
      <c r="D51" s="111"/>
    </row>
    <row r="52" spans="1:8" x14ac:dyDescent="0.3">
      <c r="C52" s="110"/>
      <c r="D52" s="111"/>
    </row>
    <row r="53" spans="1:8" x14ac:dyDescent="0.3">
      <c r="C53" s="110"/>
      <c r="D53" s="111"/>
    </row>
    <row r="54" spans="1:8" x14ac:dyDescent="0.3">
      <c r="C54" s="110"/>
      <c r="D54" s="111"/>
    </row>
    <row r="55" spans="1:8" x14ac:dyDescent="0.3">
      <c r="C55" s="110"/>
      <c r="D55" s="111"/>
    </row>
  </sheetData>
  <mergeCells count="13">
    <mergeCell ref="A49:B49"/>
    <mergeCell ref="C49:D49"/>
    <mergeCell ref="G49:H49"/>
    <mergeCell ref="A2:I2"/>
    <mergeCell ref="A3:I3"/>
    <mergeCell ref="A7:A8"/>
    <mergeCell ref="B7:B8"/>
    <mergeCell ref="C7:C8"/>
    <mergeCell ref="D7:D8"/>
    <mergeCell ref="E7:E8"/>
    <mergeCell ref="F7:G7"/>
    <mergeCell ref="H7:H8"/>
    <mergeCell ref="I7:I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Admin</cp:lastModifiedBy>
  <dcterms:created xsi:type="dcterms:W3CDTF">2018-11-08T00:50:28Z</dcterms:created>
  <dcterms:modified xsi:type="dcterms:W3CDTF">2018-11-08T00:59:30Z</dcterms:modified>
</cp:coreProperties>
</file>